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доходы" sheetId="1" r:id="rId1"/>
    <sheet name="расходы" sheetId="2" r:id="rId2"/>
  </sheets>
  <definedNames>
    <definedName name="_xlnm.Print_Titles" localSheetId="1">'расходы'!$3:$3</definedName>
    <definedName name="Excel_BuiltIn_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<sst xmlns="http://schemas.openxmlformats.org/spreadsheetml/2006/main" count="166" uniqueCount="150">
  <si>
    <t>Утверждена на общем собрании собственников помещений ТСЖ "Виктория" мкд по адресу: г-к Анапа, ул.Зелёная, дом № 1-А,</t>
  </si>
  <si>
    <t>проведенного с 27 февраля 2021г. по 10 марта 2021г. в форме заочного голосования.</t>
  </si>
  <si>
    <t>Председатель правления ТСЖ "Виктория" ____________________________________________________ М.Ю. Акулов</t>
  </si>
  <si>
    <t xml:space="preserve">  СМЕТА</t>
  </si>
  <si>
    <t>доходов и расходов ТСЖ «Виктория»</t>
  </si>
  <si>
    <t>с 01.03.2021г. по 31.12.2021г.</t>
  </si>
  <si>
    <t>1. ДОХОДЫ, руб.</t>
  </si>
  <si>
    <t>№</t>
  </si>
  <si>
    <t>Наименование статей дохода</t>
  </si>
  <si>
    <t>Расчет</t>
  </si>
  <si>
    <t>План</t>
  </si>
  <si>
    <t>Содержание и ремонт общего имущества с 01.01.2021 по 31.03.2021г. - 22,91 руб. с 01.04.2021г. по 01.12.2021г. - 20,03 руб.  с 1 кв. м (4 820,1 кв.м)</t>
  </si>
  <si>
    <r>
      <rPr>
        <sz val="11"/>
        <rFont val="Times New Roman"/>
        <family val="1"/>
      </rPr>
      <t xml:space="preserve">4820,1 х 3 мес. х 22,91
4820,1 х 9 мес. х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20,03</t>
    </r>
  </si>
  <si>
    <t>Прочие доходы (размещение оборудования ПАО "Ростелеком")</t>
  </si>
  <si>
    <t xml:space="preserve">400 х 12 мес.
</t>
  </si>
  <si>
    <t>ООО "Актон"</t>
  </si>
  <si>
    <t>1716,15 х 3</t>
  </si>
  <si>
    <t>Итого доходы</t>
  </si>
  <si>
    <t>Резервный фонд 1,0 руб. с 1 кв.м (4 820,1 кв.м)</t>
  </si>
  <si>
    <t>4 820,1 х 12 мес. х 1 руб.</t>
  </si>
  <si>
    <t>Всего доходы</t>
  </si>
  <si>
    <t>2. РАСХОДЫ, руб.</t>
  </si>
  <si>
    <t>Наименование статей расходов</t>
  </si>
  <si>
    <t>План 1 п/г</t>
  </si>
  <si>
    <t>План 2 п/г</t>
  </si>
  <si>
    <t>старая смета</t>
  </si>
  <si>
    <t>новая смета</t>
  </si>
  <si>
    <t>Факт</t>
  </si>
  <si>
    <t>Отклонение старая смета</t>
  </si>
  <si>
    <t>Отклонение</t>
  </si>
  <si>
    <t>Административно-управленческие расходы</t>
  </si>
  <si>
    <t>1.1</t>
  </si>
  <si>
    <t>Фонд оплаты труда</t>
  </si>
  <si>
    <t xml:space="preserve"> - председатель правления</t>
  </si>
  <si>
    <t>15 000 х 12 мес.</t>
  </si>
  <si>
    <t xml:space="preserve"> - главный бухгалтер</t>
  </si>
  <si>
    <t xml:space="preserve"> - уборщик производственных помещений</t>
  </si>
  <si>
    <t xml:space="preserve"> 13 000 х 12 мес.</t>
  </si>
  <si>
    <t xml:space="preserve"> - сантехник</t>
  </si>
  <si>
    <t>3 500 х 12 мес.</t>
  </si>
  <si>
    <t xml:space="preserve"> - электрик</t>
  </si>
  <si>
    <t>7 000 х 12 мес.</t>
  </si>
  <si>
    <t>1.2</t>
  </si>
  <si>
    <t>Отпускные</t>
  </si>
  <si>
    <t>1.3</t>
  </si>
  <si>
    <t>Начисления на ФЗП 30,2 %</t>
  </si>
  <si>
    <t>1.4</t>
  </si>
  <si>
    <t xml:space="preserve">Прочие налоги (УСН 1% мин) </t>
  </si>
  <si>
    <t>2</t>
  </si>
  <si>
    <t>Банковское обслуживание</t>
  </si>
  <si>
    <t>2.1</t>
  </si>
  <si>
    <t>Расчетно-кассовое (платежные поручения)</t>
  </si>
  <si>
    <t>500 х 12 мес.</t>
  </si>
  <si>
    <t>2.2</t>
  </si>
  <si>
    <t>Комиссия за ведение расчётного счёта</t>
  </si>
  <si>
    <t>1600 х 12 мес.</t>
  </si>
  <si>
    <t>3</t>
  </si>
  <si>
    <t>Деятельность ТСЖ</t>
  </si>
  <si>
    <t>3.1</t>
  </si>
  <si>
    <t>Канцелярские принадлежности (бумага, прочее)</t>
  </si>
  <si>
    <t>3.2</t>
  </si>
  <si>
    <t>Обслуживание оргтехники (заправка картриджа, ремонт оргтехники)</t>
  </si>
  <si>
    <t>3.3</t>
  </si>
  <si>
    <t>Сдача отчетности по ТСК</t>
  </si>
  <si>
    <t>3.4</t>
  </si>
  <si>
    <t>Услуги связи</t>
  </si>
  <si>
    <t xml:space="preserve"> - почтовые расходы</t>
  </si>
  <si>
    <t>200 х 12 мес.</t>
  </si>
  <si>
    <t xml:space="preserve"> - телефонные переговоры, межгород</t>
  </si>
  <si>
    <t>1 000 х 12 мес.</t>
  </si>
  <si>
    <t>3.5</t>
  </si>
  <si>
    <t>Информационно-технологическое сопровождение программы 1С (обновления, консультации)</t>
  </si>
  <si>
    <t>3.6</t>
  </si>
  <si>
    <t>Информационно-технологическое сопровождение сайта ТСЖ</t>
  </si>
  <si>
    <t>3.7</t>
  </si>
  <si>
    <t>Информационно-технологическое сопровождение сайтов ГИС ЖКХ и Реформа ЖКХ</t>
  </si>
  <si>
    <t>3.8</t>
  </si>
  <si>
    <t>Аттестация рабочих мест (1 раз в 5 лет)</t>
  </si>
  <si>
    <t>2000 х 5 р.м.</t>
  </si>
  <si>
    <t>4</t>
  </si>
  <si>
    <t>Санитарное содержание мест общего пользования</t>
  </si>
  <si>
    <t>4.1</t>
  </si>
  <si>
    <t>Моющие средства (уборка)</t>
  </si>
  <si>
    <t>4.2</t>
  </si>
  <si>
    <t>Благоустройство (озеленение)</t>
  </si>
  <si>
    <t>4.3</t>
  </si>
  <si>
    <t>Дезинфекция и дератизация</t>
  </si>
  <si>
    <t>100 х 12 мес.</t>
  </si>
  <si>
    <t>4.4</t>
  </si>
  <si>
    <t>Санитарная обработка мусорных контейнеров</t>
  </si>
  <si>
    <t>170 х 12 мес.</t>
  </si>
  <si>
    <t>5</t>
  </si>
  <si>
    <t>Расходы по содержанию и обслуживанию общего имущества дома, а также услуги, осуществляемые по договору с третьими лицами (организациями)</t>
  </si>
  <si>
    <t>5.1</t>
  </si>
  <si>
    <t>Обслуживание средств пожарной сигнализации в подъезде</t>
  </si>
  <si>
    <t>3000 х 12 мес.</t>
  </si>
  <si>
    <t>5.2</t>
  </si>
  <si>
    <t>Обслуживание вентканалов и дымоходов</t>
  </si>
  <si>
    <t>11200 х 2 раза</t>
  </si>
  <si>
    <t>5.3</t>
  </si>
  <si>
    <t>Обслуживание лифта</t>
  </si>
  <si>
    <t>4500 х 12 мес.</t>
  </si>
  <si>
    <t>5.4</t>
  </si>
  <si>
    <t>Страхование лифта</t>
  </si>
  <si>
    <t>5.6</t>
  </si>
  <si>
    <t>Аварийно-диспетчерское и техническое обслуживание общедомового газового оборудования</t>
  </si>
  <si>
    <t>5.7</t>
  </si>
  <si>
    <t>Обслуживание домофонной системы</t>
  </si>
  <si>
    <t>1835 х 12 мес.</t>
  </si>
  <si>
    <t>5.8</t>
  </si>
  <si>
    <t>Оценка соответствия лифта (техническое освидетельствование)</t>
  </si>
  <si>
    <t>5.9</t>
  </si>
  <si>
    <t>Электроэнергия в местах общего пользования</t>
  </si>
  <si>
    <t>9109кВт х 5,02</t>
  </si>
  <si>
    <t>5.10</t>
  </si>
  <si>
    <t>Холодное водоснабжение и водоотведение в местах общего пользования</t>
  </si>
  <si>
    <t>4 м3 12м. х 72,23</t>
  </si>
  <si>
    <t>5.11</t>
  </si>
  <si>
    <t>Обслуживание общедомового электрооборудовани, установка эектросчетчикой для контроля электроэнергии собственникам нежилых помещений цокольного этажа</t>
  </si>
  <si>
    <t>Обустройство мусорной площадки</t>
  </si>
  <si>
    <t xml:space="preserve">ремонт водяного насоса </t>
  </si>
  <si>
    <t>востановление системы вентиляции</t>
  </si>
  <si>
    <t>ремонт офиса</t>
  </si>
  <si>
    <t>учеба</t>
  </si>
  <si>
    <t>авансовые отчеты</t>
  </si>
  <si>
    <t>6</t>
  </si>
  <si>
    <t>Работы по ремонту общего имущества дома</t>
  </si>
  <si>
    <t>6.1</t>
  </si>
  <si>
    <t>Частичный ремонт плитки фасада, тротуарной плитки, плитки 4 этажа</t>
  </si>
  <si>
    <t>7.2</t>
  </si>
  <si>
    <t>Востановление и подключение наужного освещения</t>
  </si>
  <si>
    <t>6.2</t>
  </si>
  <si>
    <t>Ремонт системы водоотлива, устранение протечек крыши, гидроизоляция</t>
  </si>
  <si>
    <t>6.3</t>
  </si>
  <si>
    <t>Покраска 2-х контейнеров под мусор, бордюров, пандусов, мусорного помещения</t>
  </si>
  <si>
    <t>7.3</t>
  </si>
  <si>
    <t>Покраска 10-го этажа дома, заделка трещин на стенах</t>
  </si>
  <si>
    <t>7.4</t>
  </si>
  <si>
    <t>Покраска 2-х контейнеров под мусор, бордюров, пандуса, леерного ограждения</t>
  </si>
  <si>
    <t>6.4</t>
  </si>
  <si>
    <t>Покрасочные материалы, плитка на пол</t>
  </si>
  <si>
    <t>7</t>
  </si>
  <si>
    <t>Непредвиденные расходы (юридические услуги (нотариус, юрист), гос.пошлины, штрафные санкции)</t>
  </si>
  <si>
    <t>Итого расходы по смете</t>
  </si>
  <si>
    <t>Резервный фонд</t>
  </si>
  <si>
    <t>Произведены работы, которые не были запланированны сметой:</t>
  </si>
  <si>
    <t>итого:</t>
  </si>
  <si>
    <t>Главный бухгалтер</t>
  </si>
  <si>
    <t>О.Н. Луковкина</t>
  </si>
  <si>
    <t>1.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</si>
</sst>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@"/>
    <numFmt numFmtId="168" formatCode="dd/mmm"/>
    <numFmt numFmtId="169" formatCode="dd/mm/yyyy"/>
  </numFmts>
  <fonts count="1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vertical="center" wrapText="1"/>
    </xf>
    <xf numFmtId="166" fontId="3" fillId="0" borderId="0" xfId="0" applyNumberFormat="1" applyFont="1" applyFill="1" applyAlignment="1">
      <alignment vertical="center"/>
    </xf>
    <xf numFmtId="166" fontId="3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4" fontId="12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2" fillId="0" borderId="1" xfId="0" applyFont="1" applyBorder="1" applyAlignment="1">
      <alignment horizontal="right" vertical="center"/>
    </xf>
    <xf numFmtId="164" fontId="13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66" fontId="12" fillId="0" borderId="3" xfId="0" applyNumberFormat="1" applyFont="1" applyFill="1" applyBorder="1" applyAlignment="1">
      <alignment vertical="center"/>
    </xf>
    <xf numFmtId="166" fontId="12" fillId="0" borderId="5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/>
    </xf>
    <xf numFmtId="166" fontId="9" fillId="0" borderId="3" xfId="0" applyNumberFormat="1" applyFont="1" applyBorder="1" applyAlignment="1">
      <alignment vertical="center"/>
    </xf>
    <xf numFmtId="164" fontId="12" fillId="0" borderId="0" xfId="0" applyFont="1" applyAlignment="1">
      <alignment/>
    </xf>
    <xf numFmtId="167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/>
    </xf>
    <xf numFmtId="167" fontId="12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vertical="center"/>
    </xf>
    <xf numFmtId="166" fontId="9" fillId="0" borderId="5" xfId="0" applyNumberFormat="1" applyFont="1" applyBorder="1" applyAlignment="1">
      <alignment vertical="center"/>
    </xf>
    <xf numFmtId="164" fontId="3" fillId="0" borderId="0" xfId="0" applyFont="1" applyBorder="1" applyAlignment="1">
      <alignment/>
    </xf>
    <xf numFmtId="166" fontId="9" fillId="0" borderId="3" xfId="0" applyNumberFormat="1" applyFont="1" applyBorder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3" fillId="0" borderId="6" xfId="0" applyNumberFormat="1" applyFont="1" applyFill="1" applyBorder="1" applyAlignment="1">
      <alignment vertical="center"/>
    </xf>
    <xf numFmtId="166" fontId="3" fillId="0" borderId="7" xfId="0" applyNumberFormat="1" applyFont="1" applyBorder="1" applyAlignment="1">
      <alignment vertical="center"/>
    </xf>
    <xf numFmtId="165" fontId="12" fillId="0" borderId="6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166" fontId="12" fillId="0" borderId="3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6" fontId="12" fillId="0" borderId="0" xfId="0" applyNumberFormat="1" applyFont="1" applyAlignment="1">
      <alignment/>
    </xf>
    <xf numFmtId="165" fontId="3" fillId="0" borderId="1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5" fontId="12" fillId="0" borderId="8" xfId="0" applyNumberFormat="1" applyFont="1" applyBorder="1" applyAlignment="1">
      <alignment/>
    </xf>
    <xf numFmtId="166" fontId="9" fillId="0" borderId="8" xfId="0" applyNumberFormat="1" applyFont="1" applyBorder="1" applyAlignment="1">
      <alignment/>
    </xf>
    <xf numFmtId="165" fontId="3" fillId="0" borderId="2" xfId="0" applyNumberFormat="1" applyFont="1" applyFill="1" applyBorder="1" applyAlignment="1">
      <alignment vertical="center"/>
    </xf>
    <xf numFmtId="166" fontId="3" fillId="0" borderId="5" xfId="0" applyNumberFormat="1" applyFont="1" applyFill="1" applyBorder="1" applyAlignment="1">
      <alignment vertical="center"/>
    </xf>
    <xf numFmtId="164" fontId="10" fillId="0" borderId="10" xfId="0" applyFont="1" applyBorder="1" applyAlignment="1">
      <alignment horizontal="left" vertical="center" wrapText="1"/>
    </xf>
    <xf numFmtId="167" fontId="3" fillId="0" borderId="2" xfId="0" applyNumberFormat="1" applyFont="1" applyBorder="1" applyAlignment="1">
      <alignment horizontal="right" vertical="center"/>
    </xf>
    <xf numFmtId="164" fontId="10" fillId="0" borderId="3" xfId="0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4" fontId="13" fillId="0" borderId="12" xfId="0" applyFont="1" applyBorder="1" applyAlignment="1">
      <alignment horizontal="left" vertical="center" wrapText="1"/>
    </xf>
    <xf numFmtId="168" fontId="10" fillId="0" borderId="1" xfId="0" applyNumberFormat="1" applyFont="1" applyBorder="1" applyAlignment="1">
      <alignment horizontal="left" vertical="center" wrapText="1"/>
    </xf>
    <xf numFmtId="164" fontId="14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vertical="center"/>
    </xf>
    <xf numFmtId="166" fontId="12" fillId="0" borderId="0" xfId="0" applyNumberFormat="1" applyFont="1" applyFill="1" applyAlignment="1">
      <alignment vertical="center"/>
    </xf>
    <xf numFmtId="166" fontId="9" fillId="0" borderId="0" xfId="0" applyNumberFormat="1" applyFont="1" applyAlignment="1">
      <alignment/>
    </xf>
    <xf numFmtId="167" fontId="12" fillId="0" borderId="0" xfId="0" applyNumberFormat="1" applyFont="1" applyBorder="1" applyAlignment="1">
      <alignment horizontal="right" vertical="center"/>
    </xf>
    <xf numFmtId="164" fontId="14" fillId="0" borderId="0" xfId="0" applyFont="1" applyBorder="1" applyAlignment="1">
      <alignment horizontal="left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/>
    </xf>
    <xf numFmtId="164" fontId="16" fillId="0" borderId="0" xfId="0" applyFont="1" applyBorder="1" applyAlignment="1">
      <alignment horizontal="left" vertical="center" wrapText="1"/>
    </xf>
    <xf numFmtId="166" fontId="12" fillId="0" borderId="0" xfId="0" applyNumberFormat="1" applyFont="1" applyFill="1" applyAlignment="1">
      <alignment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vertical="center"/>
    </xf>
    <xf numFmtId="165" fontId="12" fillId="0" borderId="0" xfId="0" applyNumberFormat="1" applyFont="1" applyAlignment="1">
      <alignment/>
    </xf>
    <xf numFmtId="166" fontId="3" fillId="0" borderId="0" xfId="0" applyNumberFormat="1" applyFont="1" applyFill="1" applyAlignment="1">
      <alignment/>
    </xf>
    <xf numFmtId="164" fontId="13" fillId="0" borderId="0" xfId="0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right" vertical="center"/>
    </xf>
    <xf numFmtId="164" fontId="10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vertical="center"/>
    </xf>
    <xf numFmtId="164" fontId="9" fillId="0" borderId="0" xfId="0" applyFont="1" applyAlignment="1">
      <alignment horizontal="right" vertical="center"/>
    </xf>
    <xf numFmtId="166" fontId="9" fillId="0" borderId="0" xfId="0" applyNumberFormat="1" applyFont="1" applyAlignment="1">
      <alignment vertical="center"/>
    </xf>
    <xf numFmtId="167" fontId="9" fillId="0" borderId="1" xfId="0" applyNumberFormat="1" applyFont="1" applyBorder="1" applyAlignment="1">
      <alignment horizontal="right" vertical="center"/>
    </xf>
    <xf numFmtId="164" fontId="17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164" fontId="3" fillId="0" borderId="9" xfId="0" applyFont="1" applyBorder="1" applyAlignment="1">
      <alignment vertical="center" wrapText="1"/>
    </xf>
    <xf numFmtId="164" fontId="3" fillId="0" borderId="0" xfId="0" applyFont="1" applyAlignment="1">
      <alignment horizontal="right" vertical="center"/>
    </xf>
    <xf numFmtId="169" fontId="18" fillId="0" borderId="0" xfId="0" applyNumberFormat="1" applyFont="1" applyAlignment="1">
      <alignment horizontal="left" vertical="center" wrapText="1"/>
    </xf>
    <xf numFmtId="164" fontId="3" fillId="0" borderId="5" xfId="0" applyFont="1" applyBorder="1" applyAlignment="1">
      <alignment vertical="center" wrapText="1"/>
    </xf>
    <xf numFmtId="164" fontId="3" fillId="0" borderId="0" xfId="0" applyFont="1" applyBorder="1" applyAlignment="1">
      <alignment horizontal="center" wrapText="1"/>
    </xf>
    <xf numFmtId="164" fontId="3" fillId="0" borderId="3" xfId="0" applyFont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3" xfId="0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166" fontId="3" fillId="0" borderId="3" xfId="0" applyNumberFormat="1" applyFont="1" applyBorder="1" applyAlignment="1">
      <alignment vertical="center"/>
    </xf>
    <xf numFmtId="164" fontId="9" fillId="0" borderId="0" xfId="0" applyFont="1" applyAlignment="1">
      <alignment vertical="center"/>
    </xf>
    <xf numFmtId="164" fontId="9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3">
      <selection activeCell="D15" sqref="D15"/>
    </sheetView>
  </sheetViews>
  <sheetFormatPr defaultColWidth="9.00390625" defaultRowHeight="12.75"/>
  <cols>
    <col min="1" max="1" width="6.625" style="1" customWidth="1"/>
    <col min="2" max="2" width="60.625" style="1" customWidth="1"/>
    <col min="3" max="3" width="33.50390625" style="1" customWidth="1"/>
    <col min="4" max="4" width="27.50390625" style="1" customWidth="1"/>
    <col min="5" max="5" width="22.00390625" style="1" customWidth="1"/>
    <col min="6" max="16384" width="9.125" style="1" customWidth="1"/>
  </cols>
  <sheetData>
    <row r="1" ht="13.5" hidden="1">
      <c r="B1" s="2" t="s">
        <v>0</v>
      </c>
    </row>
    <row r="2" ht="13.5" hidden="1">
      <c r="B2" s="2" t="s">
        <v>1</v>
      </c>
    </row>
    <row r="3" ht="13.5">
      <c r="B3" s="2"/>
    </row>
    <row r="4" ht="13.5" hidden="1">
      <c r="B4" s="2" t="s">
        <v>2</v>
      </c>
    </row>
    <row r="5" ht="21" customHeight="1"/>
    <row r="6" spans="1:4" s="4" customFormat="1" ht="20.25">
      <c r="A6" s="3" t="s">
        <v>3</v>
      </c>
      <c r="B6" s="3"/>
      <c r="C6" s="3"/>
      <c r="D6" s="3"/>
    </row>
    <row r="7" spans="1:4" s="6" customFormat="1" ht="18">
      <c r="A7" s="5" t="s">
        <v>4</v>
      </c>
      <c r="B7" s="5"/>
      <c r="C7" s="5"/>
      <c r="D7" s="5"/>
    </row>
    <row r="8" spans="1:4" s="6" customFormat="1" ht="18">
      <c r="A8" s="5" t="s">
        <v>5</v>
      </c>
      <c r="B8" s="5"/>
      <c r="C8" s="5"/>
      <c r="D8" s="5"/>
    </row>
    <row r="10" s="4" customFormat="1" ht="18">
      <c r="A10" s="7" t="s">
        <v>6</v>
      </c>
    </row>
    <row r="11" spans="1:4" s="9" customFormat="1" ht="36" customHeight="1">
      <c r="A11" s="8" t="s">
        <v>7</v>
      </c>
      <c r="B11" s="8" t="s">
        <v>8</v>
      </c>
      <c r="C11" s="8" t="s">
        <v>9</v>
      </c>
      <c r="D11" s="8" t="s">
        <v>10</v>
      </c>
    </row>
    <row r="12" spans="1:4" s="2" customFormat="1" ht="50.25" customHeight="1">
      <c r="A12" s="10">
        <v>1</v>
      </c>
      <c r="B12" s="11" t="s">
        <v>11</v>
      </c>
      <c r="C12" s="12" t="s">
        <v>12</v>
      </c>
      <c r="D12" s="13">
        <f>(4820.1*9*20.03)+(4820.1*3*22.91)</f>
        <v>1200204.9</v>
      </c>
    </row>
    <row r="13" spans="1:4" s="2" customFormat="1" ht="45" customHeight="1">
      <c r="A13" s="10">
        <v>2</v>
      </c>
      <c r="B13" s="11" t="s">
        <v>13</v>
      </c>
      <c r="C13" s="12" t="s">
        <v>14</v>
      </c>
      <c r="D13" s="13">
        <f>(400*12)</f>
        <v>4800</v>
      </c>
    </row>
    <row r="14" spans="1:4" s="2" customFormat="1" ht="52.5" customHeight="1">
      <c r="A14" s="10">
        <v>3</v>
      </c>
      <c r="B14" s="11" t="s">
        <v>15</v>
      </c>
      <c r="C14" s="12" t="s">
        <v>16</v>
      </c>
      <c r="D14" s="13">
        <f>1716.15*3</f>
        <v>5148.450000000001</v>
      </c>
    </row>
    <row r="15" spans="1:5" s="18" customFormat="1" ht="36" customHeight="1">
      <c r="A15" s="14"/>
      <c r="B15" s="15" t="s">
        <v>17</v>
      </c>
      <c r="C15" s="16"/>
      <c r="D15" s="16">
        <f>SUM(D12:D14)</f>
        <v>1210153.3499999999</v>
      </c>
      <c r="E15" s="17"/>
    </row>
    <row r="16" spans="1:4" s="2" customFormat="1" ht="36" customHeight="1">
      <c r="A16" s="10">
        <v>3</v>
      </c>
      <c r="B16" s="19" t="s">
        <v>18</v>
      </c>
      <c r="C16" s="20" t="s">
        <v>19</v>
      </c>
      <c r="D16" s="13">
        <f>4820.1*12</f>
        <v>57841.200000000004</v>
      </c>
    </row>
    <row r="17" spans="1:4" s="18" customFormat="1" ht="36" customHeight="1">
      <c r="A17" s="14"/>
      <c r="B17" s="15" t="s">
        <v>20</v>
      </c>
      <c r="C17" s="16"/>
      <c r="D17" s="16">
        <f>SUM(D15:D16)</f>
        <v>1267994.5499999998</v>
      </c>
    </row>
  </sheetData>
  <sheetProtection selectLockedCells="1" selectUnlockedCells="1"/>
  <mergeCells count="3">
    <mergeCell ref="A6:D6"/>
    <mergeCell ref="A7:D7"/>
    <mergeCell ref="A8:D8"/>
  </mergeCells>
  <printOptions/>
  <pageMargins left="0.7479166666666667" right="0.7479166666666667" top="0.6701388888888888" bottom="0.6097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98" zoomScaleNormal="98" workbookViewId="0" topLeftCell="A28">
      <selection activeCell="B43" sqref="B43"/>
    </sheetView>
  </sheetViews>
  <sheetFormatPr defaultColWidth="9.00390625" defaultRowHeight="12.75"/>
  <cols>
    <col min="1" max="1" width="6.625" style="21" customWidth="1"/>
    <col min="2" max="2" width="80.875" style="22" customWidth="1"/>
    <col min="3" max="3" width="16.50390625" style="22" hidden="1" customWidth="1"/>
    <col min="4" max="4" width="15.00390625" style="21" hidden="1" customWidth="1"/>
    <col min="5" max="5" width="17.50390625" style="21" hidden="1" customWidth="1"/>
    <col min="6" max="7" width="15.00390625" style="21" hidden="1" customWidth="1"/>
    <col min="8" max="8" width="12.875" style="23" customWidth="1"/>
    <col min="9" max="9" width="16.50390625" style="24" customWidth="1"/>
    <col min="10" max="10" width="18.00390625" style="2" hidden="1" customWidth="1"/>
    <col min="11" max="11" width="18.125" style="25" customWidth="1"/>
    <col min="12" max="12" width="15.375" style="2" customWidth="1"/>
    <col min="13" max="16384" width="9.125" style="2" customWidth="1"/>
  </cols>
  <sheetData>
    <row r="2" ht="15">
      <c r="A2" s="26" t="s">
        <v>21</v>
      </c>
    </row>
    <row r="3" spans="1:11" s="33" customFormat="1" ht="36" customHeight="1">
      <c r="A3" s="27" t="s">
        <v>7</v>
      </c>
      <c r="B3" s="27" t="s">
        <v>22</v>
      </c>
      <c r="C3" s="27" t="s">
        <v>9</v>
      </c>
      <c r="D3" s="27" t="s">
        <v>23</v>
      </c>
      <c r="E3" s="27" t="s">
        <v>9</v>
      </c>
      <c r="F3" s="27" t="s">
        <v>24</v>
      </c>
      <c r="G3" s="28" t="s">
        <v>25</v>
      </c>
      <c r="H3" s="29" t="s">
        <v>26</v>
      </c>
      <c r="I3" s="30" t="s">
        <v>27</v>
      </c>
      <c r="J3" s="31" t="s">
        <v>28</v>
      </c>
      <c r="K3" s="32" t="s">
        <v>29</v>
      </c>
    </row>
    <row r="4" spans="1:11" s="43" customFormat="1" ht="30.75" customHeight="1">
      <c r="A4" s="34">
        <v>1</v>
      </c>
      <c r="B4" s="35" t="s">
        <v>30</v>
      </c>
      <c r="C4" s="36"/>
      <c r="D4" s="37">
        <f>SUM(D5,D11,D12,D13)</f>
        <v>902454</v>
      </c>
      <c r="E4" s="37"/>
      <c r="F4" s="37">
        <f>SUM(F5,F11,F12,F13)</f>
        <v>0</v>
      </c>
      <c r="G4" s="38">
        <v>902454</v>
      </c>
      <c r="H4" s="39">
        <v>838395.6</v>
      </c>
      <c r="I4" s="40">
        <f>SUM(I5,I11,I12,I13)</f>
        <v>845425.44</v>
      </c>
      <c r="J4" s="41">
        <f aca="true" t="shared" si="0" ref="J4:J13">G4-I4</f>
        <v>57028.560000000056</v>
      </c>
      <c r="K4" s="42">
        <f aca="true" t="shared" si="1" ref="K4:K13">H4-I4</f>
        <v>-7029.839999999967</v>
      </c>
    </row>
    <row r="5" spans="1:11" ht="15">
      <c r="A5" s="44" t="s">
        <v>31</v>
      </c>
      <c r="B5" s="19" t="s">
        <v>32</v>
      </c>
      <c r="C5" s="45"/>
      <c r="D5" s="13">
        <f>SUM(D6:D10)</f>
        <v>642000</v>
      </c>
      <c r="E5" s="13"/>
      <c r="F5" s="13"/>
      <c r="G5" s="46">
        <v>642000</v>
      </c>
      <c r="H5" s="47">
        <v>592800</v>
      </c>
      <c r="I5" s="48">
        <f>SUM(I6:I10)</f>
        <v>601339.27</v>
      </c>
      <c r="J5" s="41">
        <f t="shared" si="0"/>
        <v>40660.72999999998</v>
      </c>
      <c r="K5" s="49">
        <f t="shared" si="1"/>
        <v>-8539.270000000019</v>
      </c>
    </row>
    <row r="6" spans="1:11" ht="15">
      <c r="A6" s="44"/>
      <c r="B6" s="19" t="s">
        <v>33</v>
      </c>
      <c r="C6" s="12" t="s">
        <v>34</v>
      </c>
      <c r="D6" s="13">
        <f aca="true" t="shared" si="2" ref="D6:D7">15000*12</f>
        <v>180000</v>
      </c>
      <c r="E6" s="20"/>
      <c r="F6" s="13"/>
      <c r="G6" s="46">
        <v>180000</v>
      </c>
      <c r="H6" s="47">
        <v>180000</v>
      </c>
      <c r="I6" s="48">
        <f>134331.82+58838.9+13636.36-15000</f>
        <v>191807.08000000002</v>
      </c>
      <c r="J6" s="41">
        <f t="shared" si="0"/>
        <v>-11807.080000000016</v>
      </c>
      <c r="K6" s="49">
        <f t="shared" si="1"/>
        <v>-11807.080000000016</v>
      </c>
    </row>
    <row r="7" spans="1:11" ht="15">
      <c r="A7" s="44"/>
      <c r="B7" s="19" t="s">
        <v>35</v>
      </c>
      <c r="C7" s="12" t="s">
        <v>34</v>
      </c>
      <c r="D7" s="13">
        <f t="shared" si="2"/>
        <v>180000</v>
      </c>
      <c r="E7" s="20"/>
      <c r="F7" s="13"/>
      <c r="G7" s="46">
        <v>180000</v>
      </c>
      <c r="H7" s="47">
        <v>180000</v>
      </c>
      <c r="I7" s="48">
        <f>181852.54-10881.15</f>
        <v>170971.39</v>
      </c>
      <c r="J7" s="41">
        <f t="shared" si="0"/>
        <v>9028.609999999986</v>
      </c>
      <c r="K7" s="49">
        <f t="shared" si="1"/>
        <v>9028.609999999986</v>
      </c>
    </row>
    <row r="8" spans="1:11" ht="15">
      <c r="A8" s="44"/>
      <c r="B8" s="19" t="s">
        <v>36</v>
      </c>
      <c r="C8" s="12" t="s">
        <v>37</v>
      </c>
      <c r="D8" s="13">
        <f>13000*12</f>
        <v>156000</v>
      </c>
      <c r="E8" s="20"/>
      <c r="F8" s="13"/>
      <c r="G8" s="46">
        <v>156000</v>
      </c>
      <c r="H8" s="47">
        <v>110400</v>
      </c>
      <c r="I8" s="48">
        <f>58650+44956.33+20490.92-6967.38</f>
        <v>117129.87</v>
      </c>
      <c r="J8" s="41">
        <f t="shared" si="0"/>
        <v>38870.130000000005</v>
      </c>
      <c r="K8" s="49">
        <f t="shared" si="1"/>
        <v>-6729.869999999995</v>
      </c>
    </row>
    <row r="9" spans="1:11" ht="15">
      <c r="A9" s="44"/>
      <c r="B9" s="19" t="s">
        <v>38</v>
      </c>
      <c r="C9" s="12" t="s">
        <v>39</v>
      </c>
      <c r="D9" s="13">
        <f>3500*12</f>
        <v>42000</v>
      </c>
      <c r="E9" s="20"/>
      <c r="F9" s="13"/>
      <c r="G9" s="46">
        <v>42000</v>
      </c>
      <c r="H9" s="47">
        <v>54000</v>
      </c>
      <c r="I9" s="48">
        <f>55510.91-10920</f>
        <v>44590.91</v>
      </c>
      <c r="J9" s="41">
        <f t="shared" si="0"/>
        <v>-2590.9100000000035</v>
      </c>
      <c r="K9" s="49">
        <f t="shared" si="1"/>
        <v>9409.089999999997</v>
      </c>
    </row>
    <row r="10" spans="1:11" ht="15">
      <c r="A10" s="44"/>
      <c r="B10" s="19" t="s">
        <v>40</v>
      </c>
      <c r="C10" s="12" t="s">
        <v>41</v>
      </c>
      <c r="D10" s="13">
        <f>7000*12</f>
        <v>84000</v>
      </c>
      <c r="E10" s="20"/>
      <c r="F10" s="13"/>
      <c r="G10" s="46">
        <v>84000</v>
      </c>
      <c r="H10" s="47">
        <v>68400</v>
      </c>
      <c r="I10" s="48">
        <f>24896.59+77430-3896.59-21589.98</f>
        <v>76840.02</v>
      </c>
      <c r="J10" s="41">
        <f t="shared" si="0"/>
        <v>7159.979999999996</v>
      </c>
      <c r="K10" s="49">
        <f t="shared" si="1"/>
        <v>-8440.020000000004</v>
      </c>
    </row>
    <row r="11" spans="1:11" ht="15">
      <c r="A11" s="44" t="s">
        <v>42</v>
      </c>
      <c r="B11" s="19" t="s">
        <v>43</v>
      </c>
      <c r="C11" s="12"/>
      <c r="D11" s="13">
        <v>35000</v>
      </c>
      <c r="E11" s="13"/>
      <c r="F11" s="13"/>
      <c r="G11" s="46">
        <v>35000</v>
      </c>
      <c r="H11" s="47">
        <v>35000</v>
      </c>
      <c r="I11" s="48">
        <f>10881.15+3896.59+15000+6967.38</f>
        <v>36745.119999999995</v>
      </c>
      <c r="J11" s="41">
        <f t="shared" si="0"/>
        <v>-1745.1199999999953</v>
      </c>
      <c r="K11" s="49">
        <f t="shared" si="1"/>
        <v>-1745.1199999999953</v>
      </c>
    </row>
    <row r="12" spans="1:11" ht="15">
      <c r="A12" s="44" t="s">
        <v>44</v>
      </c>
      <c r="B12" s="19" t="s">
        <v>45</v>
      </c>
      <c r="C12" s="12"/>
      <c r="D12" s="13">
        <f>(D5+D11)/100*30.2</f>
        <v>204454</v>
      </c>
      <c r="E12" s="13"/>
      <c r="F12" s="13"/>
      <c r="G12" s="46">
        <v>204454</v>
      </c>
      <c r="H12" s="47">
        <v>189595.6</v>
      </c>
      <c r="I12" s="48">
        <f>199288-15741.95</f>
        <v>183546.05</v>
      </c>
      <c r="J12" s="41">
        <f t="shared" si="0"/>
        <v>20907.95000000001</v>
      </c>
      <c r="K12" s="49">
        <f t="shared" si="1"/>
        <v>6049.5500000000175</v>
      </c>
    </row>
    <row r="13" spans="1:11" ht="15">
      <c r="A13" s="44" t="s">
        <v>46</v>
      </c>
      <c r="B13" s="19" t="s">
        <v>47</v>
      </c>
      <c r="C13" s="12"/>
      <c r="D13" s="13">
        <v>21000</v>
      </c>
      <c r="E13" s="13"/>
      <c r="F13" s="13"/>
      <c r="G13" s="46">
        <v>21000</v>
      </c>
      <c r="H13" s="47">
        <v>21000</v>
      </c>
      <c r="I13" s="48">
        <v>23795</v>
      </c>
      <c r="J13" s="41">
        <f t="shared" si="0"/>
        <v>-2795</v>
      </c>
      <c r="K13" s="49">
        <f t="shared" si="1"/>
        <v>-2795</v>
      </c>
    </row>
    <row r="14" spans="1:11" s="43" customFormat="1" ht="15">
      <c r="A14" s="50" t="s">
        <v>48</v>
      </c>
      <c r="B14" s="35" t="s">
        <v>49</v>
      </c>
      <c r="C14" s="51"/>
      <c r="D14" s="37">
        <f>SUM(D15:D16)</f>
        <v>25200</v>
      </c>
      <c r="E14" s="37"/>
      <c r="F14" s="37">
        <f>SUM(F15:F16)</f>
        <v>0</v>
      </c>
      <c r="G14" s="38">
        <v>25200</v>
      </c>
      <c r="H14" s="39">
        <f>SUM(H15:H16)</f>
        <v>25200</v>
      </c>
      <c r="I14" s="40">
        <f>I15+I16</f>
        <v>25689</v>
      </c>
      <c r="J14" s="52">
        <f>SUM(J15:J16)</f>
        <v>-489</v>
      </c>
      <c r="K14" s="53">
        <f>SUM(K15:K16)</f>
        <v>-489</v>
      </c>
    </row>
    <row r="15" spans="1:11" ht="15">
      <c r="A15" s="44" t="s">
        <v>50</v>
      </c>
      <c r="B15" s="19" t="s">
        <v>51</v>
      </c>
      <c r="C15" s="12" t="s">
        <v>52</v>
      </c>
      <c r="D15" s="13">
        <f>500*12</f>
        <v>6000</v>
      </c>
      <c r="E15" s="20"/>
      <c r="F15" s="13"/>
      <c r="G15" s="46">
        <v>6000</v>
      </c>
      <c r="H15" s="47">
        <v>6000</v>
      </c>
      <c r="I15" s="48">
        <v>6489</v>
      </c>
      <c r="J15" s="41">
        <f aca="true" t="shared" si="3" ref="J15:J16">G15-I15</f>
        <v>-489</v>
      </c>
      <c r="K15" s="49">
        <f aca="true" t="shared" si="4" ref="K15:K16">H15-I15</f>
        <v>-489</v>
      </c>
    </row>
    <row r="16" spans="1:11" ht="15">
      <c r="A16" s="44" t="s">
        <v>53</v>
      </c>
      <c r="B16" s="19" t="s">
        <v>54</v>
      </c>
      <c r="C16" s="12" t="s">
        <v>55</v>
      </c>
      <c r="D16" s="13">
        <f>1600*12</f>
        <v>19200</v>
      </c>
      <c r="E16" s="20"/>
      <c r="F16" s="13"/>
      <c r="G16" s="46">
        <v>19200</v>
      </c>
      <c r="H16" s="47">
        <v>19200</v>
      </c>
      <c r="I16" s="48">
        <v>19200</v>
      </c>
      <c r="J16" s="41">
        <f t="shared" si="3"/>
        <v>0</v>
      </c>
      <c r="K16" s="49">
        <f t="shared" si="4"/>
        <v>0</v>
      </c>
    </row>
    <row r="17" spans="1:11" s="43" customFormat="1" ht="15">
      <c r="A17" s="50" t="s">
        <v>56</v>
      </c>
      <c r="B17" s="35" t="s">
        <v>57</v>
      </c>
      <c r="C17" s="51"/>
      <c r="D17" s="37">
        <f>D18+D19+D20+D21+D24+D26+D25</f>
        <v>53700</v>
      </c>
      <c r="E17" s="37"/>
      <c r="F17" s="37">
        <f>SUM(F18,F19,F20,F21,F24)</f>
        <v>0</v>
      </c>
      <c r="G17" s="38">
        <v>53700</v>
      </c>
      <c r="H17" s="39">
        <f>H18+H19+H20+H21+H24+H25+H26</f>
        <v>53700</v>
      </c>
      <c r="I17" s="40">
        <f>I18+I19+I20+I21+I24+I25+I26</f>
        <v>52544.71</v>
      </c>
      <c r="J17" s="52">
        <f>J18+J19+J20+J21+J24+J25+J26</f>
        <v>1155.2900000000009</v>
      </c>
      <c r="K17" s="42">
        <f>K18+K19+K20+K21+K24+K25+K26</f>
        <v>1155.2900000000009</v>
      </c>
    </row>
    <row r="18" spans="1:11" ht="15">
      <c r="A18" s="44" t="s">
        <v>58</v>
      </c>
      <c r="B18" s="19" t="s">
        <v>59</v>
      </c>
      <c r="C18" s="45"/>
      <c r="D18" s="13">
        <v>3000</v>
      </c>
      <c r="E18" s="13"/>
      <c r="F18" s="13"/>
      <c r="G18" s="46">
        <v>3000</v>
      </c>
      <c r="H18" s="47">
        <v>3000</v>
      </c>
      <c r="I18" s="48">
        <v>1461</v>
      </c>
      <c r="J18" s="41">
        <f aca="true" t="shared" si="5" ref="J18:J32">G18-I18</f>
        <v>1539</v>
      </c>
      <c r="K18" s="49">
        <f aca="true" t="shared" si="6" ref="K18:K32">H18-I18</f>
        <v>1539</v>
      </c>
    </row>
    <row r="19" spans="1:11" ht="15">
      <c r="A19" s="44" t="s">
        <v>60</v>
      </c>
      <c r="B19" s="19" t="s">
        <v>61</v>
      </c>
      <c r="C19" s="12"/>
      <c r="D19" s="13">
        <v>3000</v>
      </c>
      <c r="E19" s="20"/>
      <c r="F19" s="13"/>
      <c r="G19" s="46">
        <v>3000</v>
      </c>
      <c r="H19" s="47">
        <v>3000</v>
      </c>
      <c r="I19" s="48">
        <v>1800</v>
      </c>
      <c r="J19" s="41">
        <f t="shared" si="5"/>
        <v>1200</v>
      </c>
      <c r="K19" s="49">
        <f t="shared" si="6"/>
        <v>1200</v>
      </c>
    </row>
    <row r="20" spans="1:11" ht="15">
      <c r="A20" s="44" t="s">
        <v>62</v>
      </c>
      <c r="B20" s="19" t="s">
        <v>63</v>
      </c>
      <c r="C20" s="12"/>
      <c r="D20" s="13">
        <v>3300</v>
      </c>
      <c r="E20" s="13"/>
      <c r="F20" s="13"/>
      <c r="G20" s="46">
        <v>3300</v>
      </c>
      <c r="H20" s="47">
        <v>3300</v>
      </c>
      <c r="I20" s="48">
        <v>3300</v>
      </c>
      <c r="J20" s="41">
        <f t="shared" si="5"/>
        <v>0</v>
      </c>
      <c r="K20" s="49">
        <f t="shared" si="6"/>
        <v>0</v>
      </c>
    </row>
    <row r="21" spans="1:11" ht="15">
      <c r="A21" s="44" t="s">
        <v>64</v>
      </c>
      <c r="B21" s="19" t="s">
        <v>65</v>
      </c>
      <c r="C21" s="12"/>
      <c r="D21" s="13">
        <v>14400</v>
      </c>
      <c r="E21" s="13"/>
      <c r="F21" s="13"/>
      <c r="G21" s="46">
        <v>14400</v>
      </c>
      <c r="H21" s="47">
        <v>14400</v>
      </c>
      <c r="I21" s="48">
        <f>SUM(I22:I23)</f>
        <v>14383.71</v>
      </c>
      <c r="J21" s="41">
        <f t="shared" si="5"/>
        <v>16.290000000000873</v>
      </c>
      <c r="K21" s="49">
        <f t="shared" si="6"/>
        <v>16.290000000000873</v>
      </c>
    </row>
    <row r="22" spans="1:12" ht="15">
      <c r="A22" s="44"/>
      <c r="B22" s="19" t="s">
        <v>66</v>
      </c>
      <c r="C22" s="12" t="s">
        <v>67</v>
      </c>
      <c r="D22" s="13">
        <f>200*12</f>
        <v>2400</v>
      </c>
      <c r="E22" s="13"/>
      <c r="F22" s="13"/>
      <c r="G22" s="46">
        <v>2400</v>
      </c>
      <c r="H22" s="47">
        <v>2400</v>
      </c>
      <c r="I22" s="48">
        <v>373.24</v>
      </c>
      <c r="J22" s="41">
        <f t="shared" si="5"/>
        <v>2026.76</v>
      </c>
      <c r="K22" s="49">
        <f t="shared" si="6"/>
        <v>2026.76</v>
      </c>
      <c r="L22" s="54"/>
    </row>
    <row r="23" spans="1:12" ht="15">
      <c r="A23" s="44"/>
      <c r="B23" s="19" t="s">
        <v>68</v>
      </c>
      <c r="C23" s="12" t="s">
        <v>69</v>
      </c>
      <c r="D23" s="13">
        <v>12000</v>
      </c>
      <c r="E23" s="13"/>
      <c r="F23" s="13"/>
      <c r="G23" s="46">
        <v>12000</v>
      </c>
      <c r="H23" s="47">
        <v>12000</v>
      </c>
      <c r="I23" s="48">
        <v>14010.47</v>
      </c>
      <c r="J23" s="41">
        <f t="shared" si="5"/>
        <v>-2010.4699999999993</v>
      </c>
      <c r="K23" s="49">
        <f t="shared" si="6"/>
        <v>-2010.4699999999993</v>
      </c>
      <c r="L23" s="54"/>
    </row>
    <row r="24" spans="1:12" ht="27">
      <c r="A24" s="44" t="s">
        <v>70</v>
      </c>
      <c r="B24" s="19" t="s">
        <v>71</v>
      </c>
      <c r="C24" s="12" t="s">
        <v>69</v>
      </c>
      <c r="D24" s="13">
        <f>12000</f>
        <v>12000</v>
      </c>
      <c r="E24" s="20"/>
      <c r="F24" s="13"/>
      <c r="G24" s="46">
        <v>12000</v>
      </c>
      <c r="H24" s="47">
        <v>12000</v>
      </c>
      <c r="I24" s="48">
        <v>12000</v>
      </c>
      <c r="J24" s="41">
        <f t="shared" si="5"/>
        <v>0</v>
      </c>
      <c r="K24" s="49">
        <f t="shared" si="6"/>
        <v>0</v>
      </c>
      <c r="L24" s="54"/>
    </row>
    <row r="25" spans="1:11" ht="15">
      <c r="A25" s="44" t="s">
        <v>72</v>
      </c>
      <c r="B25" s="19" t="s">
        <v>73</v>
      </c>
      <c r="C25" s="12" t="s">
        <v>52</v>
      </c>
      <c r="D25" s="13">
        <f>500*12</f>
        <v>6000</v>
      </c>
      <c r="E25" s="20"/>
      <c r="F25" s="13"/>
      <c r="G25" s="46">
        <v>6000</v>
      </c>
      <c r="H25" s="47">
        <v>6000</v>
      </c>
      <c r="I25" s="48">
        <v>7600</v>
      </c>
      <c r="J25" s="41">
        <f t="shared" si="5"/>
        <v>-1600</v>
      </c>
      <c r="K25" s="49">
        <f t="shared" si="6"/>
        <v>-1600</v>
      </c>
    </row>
    <row r="26" spans="1:11" ht="15">
      <c r="A26" s="44" t="s">
        <v>74</v>
      </c>
      <c r="B26" s="19" t="s">
        <v>75</v>
      </c>
      <c r="C26" s="12" t="s">
        <v>69</v>
      </c>
      <c r="D26" s="13">
        <f>12000</f>
        <v>12000</v>
      </c>
      <c r="E26" s="20"/>
      <c r="F26" s="13"/>
      <c r="G26" s="46">
        <v>12000</v>
      </c>
      <c r="H26" s="47">
        <v>12000</v>
      </c>
      <c r="I26" s="48">
        <v>12000</v>
      </c>
      <c r="J26" s="41">
        <f t="shared" si="5"/>
        <v>0</v>
      </c>
      <c r="K26" s="49">
        <f t="shared" si="6"/>
        <v>0</v>
      </c>
    </row>
    <row r="27" spans="1:11" ht="15" hidden="1">
      <c r="A27" s="44" t="s">
        <v>76</v>
      </c>
      <c r="B27" s="19" t="s">
        <v>77</v>
      </c>
      <c r="C27" s="12" t="s">
        <v>78</v>
      </c>
      <c r="D27" s="13">
        <f>2000*5</f>
        <v>10000</v>
      </c>
      <c r="E27" s="20"/>
      <c r="F27" s="13"/>
      <c r="G27" s="46"/>
      <c r="H27" s="47"/>
      <c r="I27" s="48"/>
      <c r="J27" s="41">
        <f t="shared" si="5"/>
        <v>0</v>
      </c>
      <c r="K27" s="55">
        <f t="shared" si="6"/>
        <v>0</v>
      </c>
    </row>
    <row r="28" spans="1:11" s="43" customFormat="1" ht="15">
      <c r="A28" s="50" t="s">
        <v>79</v>
      </c>
      <c r="B28" s="56" t="s">
        <v>80</v>
      </c>
      <c r="C28" s="51"/>
      <c r="D28" s="37">
        <f>SUM(D29:D32)</f>
        <v>11240</v>
      </c>
      <c r="E28" s="37"/>
      <c r="F28" s="37">
        <f>SUM(F29:F31)</f>
        <v>0</v>
      </c>
      <c r="G28" s="38">
        <v>11240</v>
      </c>
      <c r="H28" s="39">
        <v>11240</v>
      </c>
      <c r="I28" s="40">
        <f>SUM(I29:I32)</f>
        <v>4291.5</v>
      </c>
      <c r="J28" s="41">
        <f t="shared" si="5"/>
        <v>6948.5</v>
      </c>
      <c r="K28" s="55">
        <f t="shared" si="6"/>
        <v>6948.5</v>
      </c>
    </row>
    <row r="29" spans="1:11" ht="15">
      <c r="A29" s="44" t="s">
        <v>81</v>
      </c>
      <c r="B29" s="19" t="s">
        <v>82</v>
      </c>
      <c r="C29" s="12" t="s">
        <v>52</v>
      </c>
      <c r="D29" s="13">
        <f>500*12</f>
        <v>6000</v>
      </c>
      <c r="E29" s="20"/>
      <c r="F29" s="13"/>
      <c r="G29" s="46">
        <v>6000</v>
      </c>
      <c r="H29" s="47">
        <v>6000</v>
      </c>
      <c r="I29" s="48">
        <v>1338.5</v>
      </c>
      <c r="J29" s="41">
        <f t="shared" si="5"/>
        <v>4661.5</v>
      </c>
      <c r="K29" s="49">
        <f t="shared" si="6"/>
        <v>4661.5</v>
      </c>
    </row>
    <row r="30" spans="1:11" ht="15">
      <c r="A30" s="44" t="s">
        <v>83</v>
      </c>
      <c r="B30" s="19" t="s">
        <v>84</v>
      </c>
      <c r="C30" s="12"/>
      <c r="D30" s="13">
        <v>2000</v>
      </c>
      <c r="E30" s="13"/>
      <c r="F30" s="13"/>
      <c r="G30" s="46">
        <v>2000</v>
      </c>
      <c r="H30" s="47">
        <v>2000</v>
      </c>
      <c r="I30" s="48">
        <v>944</v>
      </c>
      <c r="J30" s="41">
        <f t="shared" si="5"/>
        <v>1056</v>
      </c>
      <c r="K30" s="49">
        <f t="shared" si="6"/>
        <v>1056</v>
      </c>
    </row>
    <row r="31" spans="1:11" ht="15">
      <c r="A31" s="44" t="s">
        <v>85</v>
      </c>
      <c r="B31" s="19" t="s">
        <v>86</v>
      </c>
      <c r="C31" s="12" t="s">
        <v>87</v>
      </c>
      <c r="D31" s="13">
        <f>100*12</f>
        <v>1200</v>
      </c>
      <c r="E31" s="13"/>
      <c r="F31" s="13"/>
      <c r="G31" s="46">
        <v>1200</v>
      </c>
      <c r="H31" s="47">
        <v>1200</v>
      </c>
      <c r="I31" s="48">
        <v>1009</v>
      </c>
      <c r="J31" s="41">
        <f t="shared" si="5"/>
        <v>191</v>
      </c>
      <c r="K31" s="49">
        <f t="shared" si="6"/>
        <v>191</v>
      </c>
    </row>
    <row r="32" spans="1:11" ht="15">
      <c r="A32" s="44" t="s">
        <v>88</v>
      </c>
      <c r="B32" s="19" t="s">
        <v>89</v>
      </c>
      <c r="C32" s="12" t="s">
        <v>90</v>
      </c>
      <c r="D32" s="13">
        <v>2040</v>
      </c>
      <c r="E32" s="13"/>
      <c r="F32" s="13"/>
      <c r="G32" s="46">
        <v>2040</v>
      </c>
      <c r="H32" s="57">
        <v>2040</v>
      </c>
      <c r="I32" s="58">
        <v>1000</v>
      </c>
      <c r="J32" s="59">
        <f t="shared" si="5"/>
        <v>1040</v>
      </c>
      <c r="K32" s="60">
        <f t="shared" si="6"/>
        <v>1040</v>
      </c>
    </row>
    <row r="33" spans="1:12" s="43" customFormat="1" ht="39" customHeight="1">
      <c r="A33" s="50" t="s">
        <v>91</v>
      </c>
      <c r="B33" s="56" t="s">
        <v>92</v>
      </c>
      <c r="C33" s="51"/>
      <c r="D33" s="37">
        <f>SUM(D34:D43)</f>
        <v>176114.22</v>
      </c>
      <c r="E33" s="37"/>
      <c r="F33" s="37">
        <f>SUM(F34:F42)</f>
        <v>22400</v>
      </c>
      <c r="G33" s="38">
        <v>176114.22</v>
      </c>
      <c r="H33" s="39">
        <f>SUM(H35:H43)</f>
        <v>176114.22</v>
      </c>
      <c r="I33" s="61">
        <f>I35+I36+I37+I38+I39+I40+I41+I42+I44+I45+I46+I47+I48+I49</f>
        <v>209699.63999999998</v>
      </c>
      <c r="J33" s="62">
        <f>SUM(J34:K43)</f>
        <v>11220.479999999987</v>
      </c>
      <c r="K33" s="42">
        <f>SUM(K34:K49)</f>
        <v>-55175.40000000001</v>
      </c>
      <c r="L33" s="63"/>
    </row>
    <row r="34" spans="1:11" ht="15" hidden="1">
      <c r="A34" s="44" t="s">
        <v>93</v>
      </c>
      <c r="B34" s="19" t="s">
        <v>94</v>
      </c>
      <c r="C34" s="12" t="s">
        <v>95</v>
      </c>
      <c r="D34" s="13">
        <v>0</v>
      </c>
      <c r="E34" s="13"/>
      <c r="F34" s="64"/>
      <c r="G34" s="46">
        <v>0</v>
      </c>
      <c r="H34" s="65">
        <v>0</v>
      </c>
      <c r="I34" s="66">
        <v>0</v>
      </c>
      <c r="J34" s="67">
        <f aca="true" t="shared" si="7" ref="J34:J43">G34-I34</f>
        <v>0</v>
      </c>
      <c r="K34" s="68">
        <f aca="true" t="shared" si="8" ref="K34:K58">H34-I34</f>
        <v>0</v>
      </c>
    </row>
    <row r="35" spans="1:11" ht="15">
      <c r="A35" s="44" t="s">
        <v>96</v>
      </c>
      <c r="B35" s="19" t="s">
        <v>97</v>
      </c>
      <c r="C35" s="12" t="s">
        <v>98</v>
      </c>
      <c r="D35" s="13">
        <f>11200*2</f>
        <v>22400</v>
      </c>
      <c r="E35" s="13"/>
      <c r="F35" s="64">
        <v>22400</v>
      </c>
      <c r="G35" s="46">
        <v>22400</v>
      </c>
      <c r="H35" s="47">
        <v>22400</v>
      </c>
      <c r="I35" s="48">
        <v>11200</v>
      </c>
      <c r="J35" s="41">
        <f t="shared" si="7"/>
        <v>11200</v>
      </c>
      <c r="K35" s="49">
        <f t="shared" si="8"/>
        <v>11200</v>
      </c>
    </row>
    <row r="36" spans="1:11" ht="15">
      <c r="A36" s="44" t="s">
        <v>99</v>
      </c>
      <c r="B36" s="19" t="s">
        <v>100</v>
      </c>
      <c r="C36" s="12" t="s">
        <v>101</v>
      </c>
      <c r="D36" s="13">
        <f>4500*12</f>
        <v>54000</v>
      </c>
      <c r="E36" s="20"/>
      <c r="F36" s="64"/>
      <c r="G36" s="46">
        <v>54000</v>
      </c>
      <c r="H36" s="47">
        <v>54000</v>
      </c>
      <c r="I36" s="48">
        <v>54000</v>
      </c>
      <c r="J36" s="41">
        <f t="shared" si="7"/>
        <v>0</v>
      </c>
      <c r="K36" s="49">
        <f t="shared" si="8"/>
        <v>0</v>
      </c>
    </row>
    <row r="37" spans="1:11" ht="15">
      <c r="A37" s="44" t="s">
        <v>102</v>
      </c>
      <c r="B37" s="19" t="s">
        <v>103</v>
      </c>
      <c r="C37" s="12"/>
      <c r="D37" s="13">
        <v>1500</v>
      </c>
      <c r="E37" s="13"/>
      <c r="F37" s="64"/>
      <c r="G37" s="46">
        <v>1500</v>
      </c>
      <c r="H37" s="47">
        <v>1500</v>
      </c>
      <c r="I37" s="48">
        <v>1500</v>
      </c>
      <c r="J37" s="41">
        <f t="shared" si="7"/>
        <v>0</v>
      </c>
      <c r="K37" s="49">
        <f t="shared" si="8"/>
        <v>0</v>
      </c>
    </row>
    <row r="38" spans="1:11" ht="27">
      <c r="A38" s="44" t="s">
        <v>104</v>
      </c>
      <c r="B38" s="19" t="s">
        <v>105</v>
      </c>
      <c r="C38" s="12"/>
      <c r="D38" s="13">
        <v>6000</v>
      </c>
      <c r="E38" s="13"/>
      <c r="F38" s="64"/>
      <c r="G38" s="46">
        <v>6000</v>
      </c>
      <c r="H38" s="47">
        <v>6000</v>
      </c>
      <c r="I38" s="48"/>
      <c r="J38" s="41">
        <f t="shared" si="7"/>
        <v>6000</v>
      </c>
      <c r="K38" s="49">
        <f t="shared" si="8"/>
        <v>6000</v>
      </c>
    </row>
    <row r="39" spans="1:11" ht="15">
      <c r="A39" s="44" t="s">
        <v>106</v>
      </c>
      <c r="B39" s="19" t="s">
        <v>107</v>
      </c>
      <c r="C39" s="12" t="s">
        <v>108</v>
      </c>
      <c r="D39" s="13">
        <f>1835*12</f>
        <v>22020</v>
      </c>
      <c r="E39" s="20"/>
      <c r="F39" s="64"/>
      <c r="G39" s="46">
        <v>22020</v>
      </c>
      <c r="H39" s="47">
        <v>22020</v>
      </c>
      <c r="I39" s="48">
        <v>22020</v>
      </c>
      <c r="J39" s="41">
        <f t="shared" si="7"/>
        <v>0</v>
      </c>
      <c r="K39" s="49">
        <f t="shared" si="8"/>
        <v>0</v>
      </c>
    </row>
    <row r="40" spans="1:11" ht="15">
      <c r="A40" s="44" t="s">
        <v>109</v>
      </c>
      <c r="B40" s="19" t="s">
        <v>110</v>
      </c>
      <c r="C40" s="12"/>
      <c r="D40" s="13">
        <v>11000</v>
      </c>
      <c r="E40" s="13"/>
      <c r="F40" s="64"/>
      <c r="G40" s="46">
        <v>11000</v>
      </c>
      <c r="H40" s="47">
        <v>11000</v>
      </c>
      <c r="I40" s="48">
        <v>11000</v>
      </c>
      <c r="J40" s="41">
        <f t="shared" si="7"/>
        <v>0</v>
      </c>
      <c r="K40" s="49">
        <f t="shared" si="8"/>
        <v>0</v>
      </c>
    </row>
    <row r="41" spans="1:11" ht="15">
      <c r="A41" s="44" t="s">
        <v>111</v>
      </c>
      <c r="B41" s="19" t="s">
        <v>112</v>
      </c>
      <c r="C41" s="12" t="s">
        <v>113</v>
      </c>
      <c r="D41" s="13">
        <f>9109*5.02</f>
        <v>45727.17999999999</v>
      </c>
      <c r="E41" s="12"/>
      <c r="F41" s="64"/>
      <c r="G41" s="69">
        <v>45727.17999999999</v>
      </c>
      <c r="H41" s="47">
        <v>45727.17999999999</v>
      </c>
      <c r="I41" s="70">
        <v>45727</v>
      </c>
      <c r="J41" s="41">
        <f t="shared" si="7"/>
        <v>0.17999999999301508</v>
      </c>
      <c r="K41" s="49">
        <f t="shared" si="8"/>
        <v>0.17999999999301508</v>
      </c>
    </row>
    <row r="42" spans="1:11" ht="15">
      <c r="A42" s="44" t="s">
        <v>114</v>
      </c>
      <c r="B42" s="19" t="s">
        <v>115</v>
      </c>
      <c r="C42" s="12" t="s">
        <v>116</v>
      </c>
      <c r="D42" s="13">
        <f>4*12*72.23</f>
        <v>3467.04</v>
      </c>
      <c r="E42" s="12"/>
      <c r="F42" s="64"/>
      <c r="G42" s="69">
        <v>3467.04</v>
      </c>
      <c r="H42" s="47">
        <v>3467.04</v>
      </c>
      <c r="I42" s="70">
        <v>3467</v>
      </c>
      <c r="J42" s="41">
        <f t="shared" si="7"/>
        <v>0.03999999999996362</v>
      </c>
      <c r="K42" s="49">
        <f t="shared" si="8"/>
        <v>0.03999999999996362</v>
      </c>
    </row>
    <row r="43" spans="1:11" ht="32.25" customHeight="1">
      <c r="A43" s="44" t="s">
        <v>117</v>
      </c>
      <c r="B43" s="71" t="s">
        <v>118</v>
      </c>
      <c r="C43" s="12"/>
      <c r="D43" s="13">
        <v>10000</v>
      </c>
      <c r="E43" s="13"/>
      <c r="F43" s="64"/>
      <c r="G43" s="46">
        <v>10000</v>
      </c>
      <c r="H43" s="47">
        <v>10000</v>
      </c>
      <c r="I43" s="48">
        <v>21589.98</v>
      </c>
      <c r="J43" s="41">
        <f t="shared" si="7"/>
        <v>-11589.98</v>
      </c>
      <c r="K43" s="49">
        <f t="shared" si="8"/>
        <v>-11589.98</v>
      </c>
    </row>
    <row r="44" spans="1:11" ht="15" customHeight="1">
      <c r="A44" s="72"/>
      <c r="B44" s="73" t="s">
        <v>119</v>
      </c>
      <c r="C44" s="74"/>
      <c r="D44" s="13"/>
      <c r="E44" s="13"/>
      <c r="F44" s="64"/>
      <c r="G44" s="46"/>
      <c r="H44" s="47"/>
      <c r="I44" s="48">
        <v>10568.919999999998</v>
      </c>
      <c r="J44" s="41"/>
      <c r="K44" s="49">
        <f t="shared" si="8"/>
        <v>-10568.919999999998</v>
      </c>
    </row>
    <row r="45" spans="1:11" ht="15" customHeight="1">
      <c r="A45" s="72"/>
      <c r="B45" s="73" t="s">
        <v>120</v>
      </c>
      <c r="C45" s="74"/>
      <c r="D45" s="13"/>
      <c r="E45" s="13"/>
      <c r="F45" s="64"/>
      <c r="G45" s="46"/>
      <c r="H45" s="47"/>
      <c r="I45" s="48">
        <v>11238</v>
      </c>
      <c r="J45" s="41"/>
      <c r="K45" s="49">
        <f t="shared" si="8"/>
        <v>-11238</v>
      </c>
    </row>
    <row r="46" spans="1:11" ht="15" customHeight="1">
      <c r="A46" s="72"/>
      <c r="B46" s="73" t="s">
        <v>121</v>
      </c>
      <c r="C46" s="74"/>
      <c r="D46" s="13"/>
      <c r="E46" s="13"/>
      <c r="F46" s="64"/>
      <c r="G46" s="46"/>
      <c r="H46" s="47"/>
      <c r="I46" s="48">
        <v>16000</v>
      </c>
      <c r="J46" s="41"/>
      <c r="K46" s="49">
        <f t="shared" si="8"/>
        <v>-16000</v>
      </c>
    </row>
    <row r="47" spans="1:11" ht="15" customHeight="1">
      <c r="A47" s="72"/>
      <c r="B47" s="73" t="s">
        <v>122</v>
      </c>
      <c r="C47" s="74"/>
      <c r="D47" s="13"/>
      <c r="E47" s="13"/>
      <c r="F47" s="64"/>
      <c r="G47" s="46"/>
      <c r="H47" s="47"/>
      <c r="I47" s="48">
        <v>5000</v>
      </c>
      <c r="J47" s="41"/>
      <c r="K47" s="49">
        <f t="shared" si="8"/>
        <v>-5000</v>
      </c>
    </row>
    <row r="48" spans="1:11" ht="15" customHeight="1">
      <c r="A48" s="72"/>
      <c r="B48" s="73" t="s">
        <v>123</v>
      </c>
      <c r="C48" s="74"/>
      <c r="D48" s="13"/>
      <c r="E48" s="13"/>
      <c r="F48" s="64"/>
      <c r="G48" s="46"/>
      <c r="H48" s="47"/>
      <c r="I48" s="48">
        <v>7300</v>
      </c>
      <c r="J48" s="41"/>
      <c r="K48" s="49">
        <f t="shared" si="8"/>
        <v>-7300</v>
      </c>
    </row>
    <row r="49" spans="1:11" ht="15" customHeight="1">
      <c r="A49" s="72"/>
      <c r="B49" s="73" t="s">
        <v>124</v>
      </c>
      <c r="C49" s="74"/>
      <c r="D49" s="13"/>
      <c r="E49" s="13"/>
      <c r="F49" s="64"/>
      <c r="G49" s="46"/>
      <c r="H49" s="47"/>
      <c r="I49" s="48">
        <v>10678.72</v>
      </c>
      <c r="J49" s="41"/>
      <c r="K49" s="49">
        <f t="shared" si="8"/>
        <v>-10678.72</v>
      </c>
    </row>
    <row r="50" spans="1:11" s="43" customFormat="1" ht="15">
      <c r="A50" s="50" t="s">
        <v>125</v>
      </c>
      <c r="B50" s="75" t="s">
        <v>126</v>
      </c>
      <c r="C50" s="51"/>
      <c r="D50" s="37">
        <f>SUM(D51:D56)</f>
        <v>0</v>
      </c>
      <c r="E50" s="37"/>
      <c r="F50" s="37">
        <f>SUM(F51:F56)</f>
        <v>0</v>
      </c>
      <c r="G50" s="38">
        <v>46000</v>
      </c>
      <c r="H50" s="39">
        <f>H51+H53+H54+H57</f>
        <v>44000</v>
      </c>
      <c r="I50" s="40">
        <f>SUM(I51:I57)</f>
        <v>21500</v>
      </c>
      <c r="J50" s="41">
        <f aca="true" t="shared" si="9" ref="J50:J58">G50-I50</f>
        <v>24500</v>
      </c>
      <c r="K50" s="55">
        <f t="shared" si="8"/>
        <v>22500</v>
      </c>
    </row>
    <row r="51" spans="1:11" ht="21" customHeight="1">
      <c r="A51" s="44" t="s">
        <v>127</v>
      </c>
      <c r="B51" s="76" t="s">
        <v>128</v>
      </c>
      <c r="C51" s="12"/>
      <c r="D51" s="13"/>
      <c r="E51" s="13"/>
      <c r="F51" s="13"/>
      <c r="G51" s="46">
        <v>16000</v>
      </c>
      <c r="H51" s="47">
        <v>15000</v>
      </c>
      <c r="I51" s="48"/>
      <c r="J51" s="41">
        <f t="shared" si="9"/>
        <v>16000</v>
      </c>
      <c r="K51" s="55">
        <f t="shared" si="8"/>
        <v>15000</v>
      </c>
    </row>
    <row r="52" spans="1:11" ht="21" customHeight="1" hidden="1">
      <c r="A52" s="44" t="s">
        <v>129</v>
      </c>
      <c r="B52" s="76" t="s">
        <v>130</v>
      </c>
      <c r="C52" s="12"/>
      <c r="D52" s="13"/>
      <c r="E52" s="13"/>
      <c r="F52" s="13"/>
      <c r="G52" s="46"/>
      <c r="H52" s="47"/>
      <c r="I52" s="48"/>
      <c r="J52" s="41">
        <f t="shared" si="9"/>
        <v>0</v>
      </c>
      <c r="K52" s="55">
        <f t="shared" si="8"/>
        <v>0</v>
      </c>
    </row>
    <row r="53" spans="1:11" ht="21" customHeight="1">
      <c r="A53" s="44" t="s">
        <v>131</v>
      </c>
      <c r="B53" s="19" t="s">
        <v>132</v>
      </c>
      <c r="C53" s="12"/>
      <c r="D53" s="13"/>
      <c r="E53" s="13"/>
      <c r="F53" s="13"/>
      <c r="G53" s="46">
        <v>14000</v>
      </c>
      <c r="H53" s="47">
        <v>14000</v>
      </c>
      <c r="I53" s="48">
        <v>21500</v>
      </c>
      <c r="J53" s="41">
        <f t="shared" si="9"/>
        <v>-7500</v>
      </c>
      <c r="K53" s="55">
        <f t="shared" si="8"/>
        <v>-7500</v>
      </c>
    </row>
    <row r="54" spans="1:11" ht="21" customHeight="1">
      <c r="A54" s="44" t="s">
        <v>133</v>
      </c>
      <c r="B54" s="76" t="s">
        <v>134</v>
      </c>
      <c r="C54" s="12"/>
      <c r="D54" s="13"/>
      <c r="E54" s="13"/>
      <c r="F54" s="13"/>
      <c r="G54" s="46">
        <v>6000</v>
      </c>
      <c r="H54" s="47">
        <v>5000</v>
      </c>
      <c r="I54" s="48"/>
      <c r="J54" s="41">
        <f t="shared" si="9"/>
        <v>6000</v>
      </c>
      <c r="K54" s="55">
        <f t="shared" si="8"/>
        <v>5000</v>
      </c>
    </row>
    <row r="55" spans="1:11" ht="21" customHeight="1" hidden="1">
      <c r="A55" s="44" t="s">
        <v>135</v>
      </c>
      <c r="B55" s="19" t="s">
        <v>136</v>
      </c>
      <c r="C55" s="12"/>
      <c r="D55" s="13"/>
      <c r="E55" s="13"/>
      <c r="F55" s="13"/>
      <c r="G55" s="46"/>
      <c r="H55" s="47"/>
      <c r="I55" s="48"/>
      <c r="J55" s="41">
        <f t="shared" si="9"/>
        <v>0</v>
      </c>
      <c r="K55" s="55">
        <f t="shared" si="8"/>
        <v>0</v>
      </c>
    </row>
    <row r="56" spans="1:11" ht="21" customHeight="1" hidden="1">
      <c r="A56" s="44" t="s">
        <v>137</v>
      </c>
      <c r="B56" s="19" t="s">
        <v>138</v>
      </c>
      <c r="C56" s="12"/>
      <c r="D56" s="13"/>
      <c r="E56" s="13"/>
      <c r="F56" s="13"/>
      <c r="G56" s="46"/>
      <c r="H56" s="47"/>
      <c r="I56" s="48"/>
      <c r="J56" s="41">
        <f t="shared" si="9"/>
        <v>0</v>
      </c>
      <c r="K56" s="55">
        <f t="shared" si="8"/>
        <v>0</v>
      </c>
    </row>
    <row r="57" spans="1:11" ht="21" customHeight="1">
      <c r="A57" s="44" t="s">
        <v>139</v>
      </c>
      <c r="B57" s="19" t="s">
        <v>140</v>
      </c>
      <c r="C57" s="12"/>
      <c r="D57" s="13"/>
      <c r="E57" s="13"/>
      <c r="F57" s="13"/>
      <c r="G57" s="46">
        <v>10000</v>
      </c>
      <c r="H57" s="47">
        <v>10000</v>
      </c>
      <c r="I57" s="70"/>
      <c r="J57" s="41">
        <f t="shared" si="9"/>
        <v>10000</v>
      </c>
      <c r="K57" s="55">
        <f t="shared" si="8"/>
        <v>10000</v>
      </c>
    </row>
    <row r="58" spans="1:11" s="43" customFormat="1" ht="30.75">
      <c r="A58" s="50" t="s">
        <v>141</v>
      </c>
      <c r="B58" s="35" t="s">
        <v>142</v>
      </c>
      <c r="C58" s="51"/>
      <c r="D58" s="37">
        <v>10000</v>
      </c>
      <c r="E58" s="37"/>
      <c r="F58" s="37"/>
      <c r="G58" s="38">
        <v>10000</v>
      </c>
      <c r="H58" s="39">
        <v>10000</v>
      </c>
      <c r="I58" s="40">
        <f>2250+3508.39</f>
        <v>5758.389999999999</v>
      </c>
      <c r="J58" s="41">
        <f t="shared" si="9"/>
        <v>4241.610000000001</v>
      </c>
      <c r="K58" s="42">
        <f t="shared" si="8"/>
        <v>4241.610000000001</v>
      </c>
    </row>
    <row r="59" spans="1:11" s="43" customFormat="1" ht="15">
      <c r="A59" s="50"/>
      <c r="B59" s="35" t="s">
        <v>143</v>
      </c>
      <c r="C59" s="51"/>
      <c r="D59" s="37" t="e">
        <f>SUM(D4,D14,D17,D28,D33,#REF!,D50,D58)</f>
        <v>#REF!</v>
      </c>
      <c r="E59" s="37"/>
      <c r="F59" s="37" t="e">
        <f>SUM(F4,F14,F17,F28,F33,#REF!,F50,F58)</f>
        <v>#REF!</v>
      </c>
      <c r="G59" s="38">
        <v>1375548.22</v>
      </c>
      <c r="H59" s="39">
        <v>1158649.82</v>
      </c>
      <c r="I59" s="40">
        <f>SUM(I4,I14,I17,I28,I33,I50,I58)</f>
        <v>1164908.68</v>
      </c>
      <c r="J59" s="40">
        <f>SUM(J4,J14,J17,J28,J33,J50,J58)</f>
        <v>104605.44000000005</v>
      </c>
      <c r="K59" s="40">
        <f>SUM(K4,K14,K17,K28,K33,K50,K58)</f>
        <v>-27848.839999999975</v>
      </c>
    </row>
    <row r="60" spans="1:11" s="43" customFormat="1" ht="45" customHeight="1" hidden="1">
      <c r="A60" s="50"/>
      <c r="B60" s="77" t="s">
        <v>144</v>
      </c>
      <c r="C60" s="78"/>
      <c r="D60" s="79"/>
      <c r="E60" s="79"/>
      <c r="F60" s="79"/>
      <c r="G60" s="79"/>
      <c r="H60" s="80"/>
      <c r="I60" s="63"/>
      <c r="J60" s="41">
        <f>G60-I60</f>
        <v>0</v>
      </c>
      <c r="K60" s="81"/>
    </row>
    <row r="61" spans="1:12" s="43" customFormat="1" ht="15">
      <c r="A61" s="82"/>
      <c r="B61" s="83"/>
      <c r="C61" s="84"/>
      <c r="D61" s="85"/>
      <c r="E61" s="85"/>
      <c r="F61" s="85"/>
      <c r="G61" s="85"/>
      <c r="H61" s="80"/>
      <c r="I61" s="63"/>
      <c r="K61" s="81"/>
      <c r="L61" s="63"/>
    </row>
    <row r="62" spans="1:12" s="43" customFormat="1" ht="15" hidden="1">
      <c r="A62" s="82"/>
      <c r="B62" s="86" t="s">
        <v>145</v>
      </c>
      <c r="C62" s="84"/>
      <c r="D62" s="85"/>
      <c r="E62" s="85"/>
      <c r="F62" s="85"/>
      <c r="G62" s="85"/>
      <c r="H62" s="80"/>
      <c r="I62" s="87"/>
      <c r="K62" s="81"/>
      <c r="L62" s="63"/>
    </row>
    <row r="63" spans="1:11" s="43" customFormat="1" ht="15" hidden="1">
      <c r="A63" s="82"/>
      <c r="B63" s="86" t="s">
        <v>119</v>
      </c>
      <c r="C63" s="88"/>
      <c r="D63" s="89"/>
      <c r="E63" s="89"/>
      <c r="F63" s="89"/>
      <c r="G63" s="89">
        <v>56950</v>
      </c>
      <c r="H63" s="80"/>
      <c r="J63" s="90">
        <f>G63-K63</f>
        <v>46381.08</v>
      </c>
      <c r="K63" s="91">
        <f>27677.83+10920+14405.34+14515.75-56950</f>
        <v>10568.919999999998</v>
      </c>
    </row>
    <row r="64" spans="1:11" s="43" customFormat="1" ht="15" hidden="1">
      <c r="A64" s="82"/>
      <c r="B64" s="86" t="s">
        <v>120</v>
      </c>
      <c r="C64" s="88"/>
      <c r="D64" s="89"/>
      <c r="E64" s="89"/>
      <c r="F64" s="89"/>
      <c r="G64" s="89"/>
      <c r="H64" s="80"/>
      <c r="K64" s="91">
        <v>11238</v>
      </c>
    </row>
    <row r="65" spans="1:11" s="43" customFormat="1" ht="15" hidden="1">
      <c r="A65" s="82"/>
      <c r="B65" s="86" t="s">
        <v>121</v>
      </c>
      <c r="C65" s="88"/>
      <c r="D65" s="89"/>
      <c r="E65" s="89"/>
      <c r="F65" s="89"/>
      <c r="G65" s="89"/>
      <c r="H65" s="80"/>
      <c r="K65" s="91">
        <v>16000</v>
      </c>
    </row>
    <row r="66" spans="1:11" s="43" customFormat="1" ht="15" hidden="1">
      <c r="A66" s="82"/>
      <c r="B66" s="86" t="s">
        <v>122</v>
      </c>
      <c r="C66" s="88"/>
      <c r="D66" s="89"/>
      <c r="E66" s="89"/>
      <c r="F66" s="89"/>
      <c r="G66" s="89"/>
      <c r="H66" s="80"/>
      <c r="K66" s="91">
        <v>5000</v>
      </c>
    </row>
    <row r="67" spans="1:11" s="43" customFormat="1" ht="15" hidden="1">
      <c r="A67" s="82"/>
      <c r="B67" s="86" t="s">
        <v>123</v>
      </c>
      <c r="C67" s="88"/>
      <c r="D67" s="89"/>
      <c r="E67" s="89"/>
      <c r="F67" s="89"/>
      <c r="G67" s="89"/>
      <c r="H67" s="80"/>
      <c r="K67" s="91">
        <v>7300</v>
      </c>
    </row>
    <row r="68" spans="1:11" s="43" customFormat="1" ht="15" hidden="1">
      <c r="A68" s="82"/>
      <c r="B68" s="86" t="s">
        <v>124</v>
      </c>
      <c r="C68" s="88"/>
      <c r="D68" s="89"/>
      <c r="E68" s="89"/>
      <c r="F68" s="89"/>
      <c r="G68" s="89"/>
      <c r="H68" s="80"/>
      <c r="K68" s="91">
        <v>10678.72</v>
      </c>
    </row>
    <row r="69" spans="1:11" s="43" customFormat="1" ht="15" hidden="1">
      <c r="A69" s="82"/>
      <c r="B69" s="92" t="s">
        <v>146</v>
      </c>
      <c r="C69" s="84"/>
      <c r="D69" s="85"/>
      <c r="E69" s="85"/>
      <c r="F69" s="85"/>
      <c r="G69" s="85"/>
      <c r="H69" s="80"/>
      <c r="K69" s="81">
        <f>SUM(K63:K68)</f>
        <v>60785.64</v>
      </c>
    </row>
    <row r="70" spans="1:11" s="43" customFormat="1" ht="15">
      <c r="A70" s="82"/>
      <c r="B70" s="83"/>
      <c r="C70" s="84"/>
      <c r="D70" s="85"/>
      <c r="E70" s="85"/>
      <c r="F70" s="85"/>
      <c r="G70" s="85"/>
      <c r="H70" s="80"/>
      <c r="I70" s="63"/>
      <c r="K70" s="81"/>
    </row>
    <row r="71" spans="1:11" s="43" customFormat="1" ht="15">
      <c r="A71" s="82"/>
      <c r="B71" s="83"/>
      <c r="C71" s="84"/>
      <c r="D71" s="85"/>
      <c r="E71" s="85"/>
      <c r="F71" s="85"/>
      <c r="G71" s="85"/>
      <c r="H71" s="80"/>
      <c r="I71" s="63"/>
      <c r="K71" s="81"/>
    </row>
    <row r="72" spans="1:11" ht="13.5">
      <c r="A72" s="93"/>
      <c r="B72" s="94" t="s">
        <v>147</v>
      </c>
      <c r="C72" s="95"/>
      <c r="D72" s="96"/>
      <c r="E72" s="96"/>
      <c r="F72" s="96"/>
      <c r="G72" s="96"/>
      <c r="I72" s="24" t="s">
        <v>148</v>
      </c>
      <c r="K72" s="24"/>
    </row>
    <row r="73" spans="1:11" s="43" customFormat="1" ht="15">
      <c r="A73" s="82"/>
      <c r="B73" s="83"/>
      <c r="C73" s="84"/>
      <c r="D73" s="85"/>
      <c r="E73" s="85"/>
      <c r="F73" s="85"/>
      <c r="G73" s="85"/>
      <c r="H73" s="80"/>
      <c r="I73" s="63"/>
      <c r="K73" s="81"/>
    </row>
    <row r="74" spans="1:11" s="43" customFormat="1" ht="15">
      <c r="A74" s="82"/>
      <c r="B74" s="83"/>
      <c r="C74" s="84"/>
      <c r="D74" s="85"/>
      <c r="E74" s="85"/>
      <c r="F74" s="85"/>
      <c r="G74" s="85"/>
      <c r="H74" s="80"/>
      <c r="I74" s="63"/>
      <c r="K74" s="81"/>
    </row>
    <row r="75" spans="1:11" s="43" customFormat="1" ht="15">
      <c r="A75" s="82"/>
      <c r="B75" s="83"/>
      <c r="C75" s="84"/>
      <c r="D75" s="85"/>
      <c r="E75" s="85"/>
      <c r="F75" s="85"/>
      <c r="G75" s="85"/>
      <c r="H75" s="80"/>
      <c r="I75" s="63"/>
      <c r="K75" s="81"/>
    </row>
    <row r="76" spans="1:11" s="43" customFormat="1" ht="15">
      <c r="A76" s="82"/>
      <c r="B76" s="83"/>
      <c r="C76" s="84"/>
      <c r="D76" s="85"/>
      <c r="E76" s="85"/>
      <c r="F76" s="85"/>
      <c r="G76" s="85"/>
      <c r="H76" s="80"/>
      <c r="I76" s="63"/>
      <c r="K76" s="81"/>
    </row>
    <row r="77" spans="1:11" s="43" customFormat="1" ht="15">
      <c r="A77" s="82"/>
      <c r="B77" s="83"/>
      <c r="C77" s="84"/>
      <c r="D77" s="85"/>
      <c r="E77" s="85"/>
      <c r="F77" s="85"/>
      <c r="G77" s="85"/>
      <c r="H77" s="80"/>
      <c r="I77" s="63"/>
      <c r="K77" s="81"/>
    </row>
    <row r="78" spans="1:11" s="43" customFormat="1" ht="15">
      <c r="A78" s="82"/>
      <c r="B78" s="83"/>
      <c r="C78" s="84"/>
      <c r="D78" s="85"/>
      <c r="E78" s="85"/>
      <c r="F78" s="85"/>
      <c r="G78" s="85"/>
      <c r="H78" s="80"/>
      <c r="I78" s="63"/>
      <c r="K78" s="81"/>
    </row>
    <row r="79" spans="1:11" s="43" customFormat="1" ht="15">
      <c r="A79" s="82"/>
      <c r="B79" s="83"/>
      <c r="C79" s="84"/>
      <c r="D79" s="85"/>
      <c r="E79" s="85"/>
      <c r="F79" s="85"/>
      <c r="G79" s="85"/>
      <c r="H79" s="80"/>
      <c r="I79" s="63"/>
      <c r="K79" s="81"/>
    </row>
    <row r="80" spans="1:11" s="43" customFormat="1" ht="15">
      <c r="A80" s="82"/>
      <c r="B80" s="83"/>
      <c r="C80" s="84"/>
      <c r="D80" s="85"/>
      <c r="E80" s="85"/>
      <c r="F80" s="85"/>
      <c r="G80" s="85"/>
      <c r="H80" s="80"/>
      <c r="I80" s="63"/>
      <c r="K80" s="81"/>
    </row>
    <row r="81" spans="1:11" s="43" customFormat="1" ht="15">
      <c r="A81" s="82"/>
      <c r="B81" s="83"/>
      <c r="C81" s="84"/>
      <c r="D81" s="85"/>
      <c r="E81" s="85"/>
      <c r="F81" s="85"/>
      <c r="G81" s="85"/>
      <c r="H81" s="80"/>
      <c r="I81" s="63"/>
      <c r="K81" s="81"/>
    </row>
    <row r="82" spans="1:11" s="43" customFormat="1" ht="15">
      <c r="A82" s="82"/>
      <c r="B82" s="83"/>
      <c r="C82" s="84"/>
      <c r="D82" s="85"/>
      <c r="E82" s="85"/>
      <c r="F82" s="85"/>
      <c r="G82" s="85"/>
      <c r="H82" s="80"/>
      <c r="I82" s="63"/>
      <c r="K82" s="81"/>
    </row>
    <row r="83" spans="1:11" s="43" customFormat="1" ht="15">
      <c r="A83" s="82"/>
      <c r="B83" s="83"/>
      <c r="C83" s="84"/>
      <c r="D83" s="85"/>
      <c r="E83" s="85"/>
      <c r="F83" s="85"/>
      <c r="G83" s="85"/>
      <c r="H83" s="80"/>
      <c r="I83" s="63"/>
      <c r="K83" s="81"/>
    </row>
    <row r="84" spans="1:11" s="43" customFormat="1" ht="15">
      <c r="A84" s="82"/>
      <c r="B84" s="83"/>
      <c r="C84" s="84"/>
      <c r="D84" s="85"/>
      <c r="E84" s="85"/>
      <c r="F84" s="85"/>
      <c r="G84" s="85"/>
      <c r="H84" s="80"/>
      <c r="I84" s="63"/>
      <c r="K84" s="81"/>
    </row>
    <row r="85" spans="1:11" s="43" customFormat="1" ht="15">
      <c r="A85" s="82"/>
      <c r="B85" s="83"/>
      <c r="C85" s="84"/>
      <c r="D85" s="85"/>
      <c r="E85" s="85"/>
      <c r="F85" s="85"/>
      <c r="G85" s="85"/>
      <c r="H85" s="80"/>
      <c r="I85" s="63"/>
      <c r="K85" s="81"/>
    </row>
    <row r="86" spans="1:11" s="43" customFormat="1" ht="15">
      <c r="A86" s="82"/>
      <c r="B86" s="83"/>
      <c r="C86" s="84"/>
      <c r="D86" s="85"/>
      <c r="E86" s="85"/>
      <c r="F86" s="85"/>
      <c r="G86" s="85"/>
      <c r="H86" s="80"/>
      <c r="I86" s="63"/>
      <c r="K86" s="81"/>
    </row>
    <row r="87" spans="1:11" s="43" customFormat="1" ht="15">
      <c r="A87" s="82"/>
      <c r="B87" s="83"/>
      <c r="C87" s="84"/>
      <c r="D87" s="85"/>
      <c r="E87" s="85"/>
      <c r="F87" s="85"/>
      <c r="G87" s="85"/>
      <c r="H87" s="80"/>
      <c r="I87" s="63"/>
      <c r="K87" s="81"/>
    </row>
    <row r="88" spans="1:11" s="43" customFormat="1" ht="15">
      <c r="A88" s="82"/>
      <c r="B88" s="83"/>
      <c r="C88" s="84"/>
      <c r="D88" s="85"/>
      <c r="E88" s="85"/>
      <c r="F88" s="85"/>
      <c r="G88" s="85"/>
      <c r="H88" s="80"/>
      <c r="I88" s="63"/>
      <c r="K88" s="81"/>
    </row>
    <row r="89" spans="1:11" s="43" customFormat="1" ht="15">
      <c r="A89" s="82"/>
      <c r="B89" s="83"/>
      <c r="C89" s="84"/>
      <c r="D89" s="85"/>
      <c r="E89" s="85"/>
      <c r="F89" s="85"/>
      <c r="G89" s="85"/>
      <c r="H89" s="80"/>
      <c r="I89" s="63"/>
      <c r="K89" s="81"/>
    </row>
    <row r="90" spans="1:11" s="43" customFormat="1" ht="15">
      <c r="A90" s="82"/>
      <c r="B90" s="83"/>
      <c r="C90" s="84"/>
      <c r="D90" s="85"/>
      <c r="E90" s="85"/>
      <c r="F90" s="85"/>
      <c r="G90" s="85"/>
      <c r="H90" s="80"/>
      <c r="I90" s="63"/>
      <c r="K90" s="81"/>
    </row>
    <row r="91" spans="1:11" s="43" customFormat="1" ht="15">
      <c r="A91" s="82"/>
      <c r="B91" s="83"/>
      <c r="C91" s="84"/>
      <c r="D91" s="85"/>
      <c r="E91" s="85"/>
      <c r="F91" s="85"/>
      <c r="G91" s="85"/>
      <c r="H91" s="80"/>
      <c r="I91" s="63"/>
      <c r="K91" s="81"/>
    </row>
    <row r="92" spans="1:11" s="43" customFormat="1" ht="15">
      <c r="A92" s="82"/>
      <c r="B92" s="83"/>
      <c r="C92" s="84"/>
      <c r="D92" s="85"/>
      <c r="E92" s="85"/>
      <c r="F92" s="85"/>
      <c r="G92" s="85"/>
      <c r="H92" s="80"/>
      <c r="I92" s="63"/>
      <c r="K92" s="81"/>
    </row>
    <row r="93" spans="1:11" s="43" customFormat="1" ht="15">
      <c r="A93" s="82"/>
      <c r="B93" s="83"/>
      <c r="C93" s="84"/>
      <c r="D93" s="85"/>
      <c r="E93" s="85"/>
      <c r="F93" s="85"/>
      <c r="G93" s="85"/>
      <c r="H93" s="80"/>
      <c r="I93" s="63"/>
      <c r="K93" s="81"/>
    </row>
    <row r="94" spans="1:11" s="43" customFormat="1" ht="15">
      <c r="A94" s="82"/>
      <c r="B94" s="83"/>
      <c r="C94" s="84"/>
      <c r="D94" s="85"/>
      <c r="E94" s="85"/>
      <c r="F94" s="85"/>
      <c r="G94" s="85"/>
      <c r="H94" s="80"/>
      <c r="I94" s="63"/>
      <c r="K94" s="81"/>
    </row>
    <row r="95" spans="1:11" s="43" customFormat="1" ht="15">
      <c r="A95" s="82"/>
      <c r="B95" s="83"/>
      <c r="C95" s="84"/>
      <c r="D95" s="85"/>
      <c r="E95" s="85"/>
      <c r="F95" s="85"/>
      <c r="G95" s="85"/>
      <c r="H95" s="80"/>
      <c r="I95" s="63"/>
      <c r="K95" s="81"/>
    </row>
    <row r="96" spans="1:11" s="43" customFormat="1" ht="15">
      <c r="A96" s="82"/>
      <c r="B96" s="83"/>
      <c r="C96" s="84"/>
      <c r="D96" s="85"/>
      <c r="E96" s="85"/>
      <c r="F96" s="85"/>
      <c r="G96" s="85"/>
      <c r="H96" s="80"/>
      <c r="I96" s="63"/>
      <c r="K96" s="81"/>
    </row>
    <row r="97" spans="1:11" s="43" customFormat="1" ht="15">
      <c r="A97" s="82"/>
      <c r="B97" s="83"/>
      <c r="C97" s="84"/>
      <c r="D97" s="85"/>
      <c r="E97" s="85"/>
      <c r="F97" s="85"/>
      <c r="G97" s="85"/>
      <c r="H97" s="80"/>
      <c r="I97" s="63"/>
      <c r="K97" s="81"/>
    </row>
    <row r="98" spans="1:11" s="43" customFormat="1" ht="15">
      <c r="A98" s="82"/>
      <c r="B98" s="83"/>
      <c r="C98" s="84"/>
      <c r="D98" s="85"/>
      <c r="E98" s="85"/>
      <c r="F98" s="85"/>
      <c r="G98" s="85"/>
      <c r="H98" s="80"/>
      <c r="I98" s="63"/>
      <c r="K98" s="81"/>
    </row>
    <row r="99" spans="1:11" s="43" customFormat="1" ht="15">
      <c r="A99" s="82"/>
      <c r="B99" s="83"/>
      <c r="C99" s="84"/>
      <c r="D99" s="85"/>
      <c r="E99" s="85"/>
      <c r="F99" s="85"/>
      <c r="G99" s="85"/>
      <c r="H99" s="80"/>
      <c r="I99" s="63"/>
      <c r="K99" s="81"/>
    </row>
    <row r="100" spans="1:11" s="43" customFormat="1" ht="15">
      <c r="A100" s="82"/>
      <c r="B100" s="83"/>
      <c r="C100" s="84"/>
      <c r="D100" s="85"/>
      <c r="E100" s="85"/>
      <c r="F100" s="85"/>
      <c r="G100" s="85"/>
      <c r="H100" s="80"/>
      <c r="I100" s="63"/>
      <c r="K100" s="81"/>
    </row>
    <row r="101" spans="1:11" s="43" customFormat="1" ht="15">
      <c r="A101" s="82"/>
      <c r="B101" s="83"/>
      <c r="C101" s="84"/>
      <c r="D101" s="85"/>
      <c r="E101" s="85"/>
      <c r="F101" s="85"/>
      <c r="G101" s="85"/>
      <c r="H101" s="80"/>
      <c r="I101" s="63"/>
      <c r="K101" s="81"/>
    </row>
    <row r="102" spans="1:11" s="43" customFormat="1" ht="15">
      <c r="A102" s="82"/>
      <c r="B102" s="83"/>
      <c r="C102" s="84"/>
      <c r="D102" s="85"/>
      <c r="E102" s="85"/>
      <c r="F102" s="85"/>
      <c r="G102" s="85"/>
      <c r="H102" s="80"/>
      <c r="I102" s="63"/>
      <c r="K102" s="81"/>
    </row>
    <row r="103" spans="1:11" s="43" customFormat="1" ht="15">
      <c r="A103" s="82"/>
      <c r="B103" s="83"/>
      <c r="C103" s="84"/>
      <c r="D103" s="85"/>
      <c r="E103" s="85"/>
      <c r="F103" s="85"/>
      <c r="G103" s="85"/>
      <c r="H103" s="80"/>
      <c r="I103" s="63"/>
      <c r="K103" s="81"/>
    </row>
    <row r="104" spans="1:11" s="43" customFormat="1" ht="15">
      <c r="A104" s="82"/>
      <c r="B104" s="83"/>
      <c r="C104" s="84"/>
      <c r="D104" s="85"/>
      <c r="E104" s="85"/>
      <c r="F104" s="85"/>
      <c r="G104" s="85"/>
      <c r="H104" s="80"/>
      <c r="I104" s="63"/>
      <c r="K104" s="81"/>
    </row>
    <row r="105" spans="1:11" s="43" customFormat="1" ht="15">
      <c r="A105" s="82"/>
      <c r="B105" s="83"/>
      <c r="C105" s="84"/>
      <c r="D105" s="85"/>
      <c r="E105" s="85"/>
      <c r="F105" s="85"/>
      <c r="G105" s="85"/>
      <c r="H105" s="80"/>
      <c r="I105" s="63"/>
      <c r="K105" s="81"/>
    </row>
    <row r="106" spans="1:11" s="43" customFormat="1" ht="15">
      <c r="A106" s="82"/>
      <c r="B106" s="83"/>
      <c r="C106" s="84"/>
      <c r="D106" s="85"/>
      <c r="E106" s="85"/>
      <c r="F106" s="85"/>
      <c r="G106" s="85"/>
      <c r="H106" s="80"/>
      <c r="I106" s="63"/>
      <c r="K106" s="81"/>
    </row>
    <row r="107" spans="1:11" s="43" customFormat="1" ht="15">
      <c r="A107" s="82"/>
      <c r="B107" s="83"/>
      <c r="C107" s="84"/>
      <c r="D107" s="85"/>
      <c r="E107" s="85"/>
      <c r="F107" s="85"/>
      <c r="G107" s="85"/>
      <c r="H107" s="80"/>
      <c r="I107" s="63"/>
      <c r="K107" s="81"/>
    </row>
    <row r="108" spans="1:11" s="43" customFormat="1" ht="15">
      <c r="A108" s="82"/>
      <c r="B108" s="83"/>
      <c r="C108" s="84"/>
      <c r="D108" s="85"/>
      <c r="E108" s="85"/>
      <c r="F108" s="85"/>
      <c r="G108" s="85"/>
      <c r="H108" s="80"/>
      <c r="I108" s="63"/>
      <c r="K108" s="81"/>
    </row>
    <row r="109" spans="1:11" s="43" customFormat="1" ht="15">
      <c r="A109" s="82"/>
      <c r="B109" s="83"/>
      <c r="C109" s="84"/>
      <c r="D109" s="85"/>
      <c r="E109" s="85"/>
      <c r="F109" s="85"/>
      <c r="G109" s="85"/>
      <c r="H109" s="80"/>
      <c r="I109" s="63"/>
      <c r="K109" s="81"/>
    </row>
    <row r="110" spans="1:11" s="43" customFormat="1" ht="15">
      <c r="A110" s="82"/>
      <c r="B110" s="83"/>
      <c r="C110" s="84"/>
      <c r="D110" s="85"/>
      <c r="E110" s="85"/>
      <c r="F110" s="85"/>
      <c r="G110" s="85"/>
      <c r="H110" s="80"/>
      <c r="I110" s="63"/>
      <c r="K110" s="81"/>
    </row>
    <row r="111" spans="2:7" ht="13.5">
      <c r="B111" s="97"/>
      <c r="D111" s="98"/>
      <c r="F111" s="98"/>
      <c r="G111" s="98"/>
    </row>
    <row r="112" spans="1:7" ht="13.5" hidden="1">
      <c r="A112" s="44"/>
      <c r="B112" s="19"/>
      <c r="C112" s="45"/>
      <c r="D112" s="13"/>
      <c r="E112" s="13"/>
      <c r="F112" s="13"/>
      <c r="G112" s="13"/>
    </row>
    <row r="113" spans="1:7" ht="13.5" hidden="1">
      <c r="A113" s="44"/>
      <c r="B113" s="19"/>
      <c r="C113" s="45"/>
      <c r="D113" s="13"/>
      <c r="E113" s="13"/>
      <c r="F113" s="13"/>
      <c r="G113" s="13"/>
    </row>
    <row r="114" spans="1:7" ht="13.5" hidden="1">
      <c r="A114" s="44"/>
      <c r="B114" s="19"/>
      <c r="C114" s="45"/>
      <c r="D114" s="13"/>
      <c r="E114" s="13"/>
      <c r="F114" s="13"/>
      <c r="G114" s="13"/>
    </row>
    <row r="115" spans="1:7" ht="13.5" hidden="1">
      <c r="A115" s="44"/>
      <c r="B115" s="19"/>
      <c r="C115" s="45"/>
      <c r="D115" s="13"/>
      <c r="E115" s="13"/>
      <c r="F115" s="13"/>
      <c r="G115" s="13"/>
    </row>
    <row r="116" spans="1:7" ht="13.5" hidden="1">
      <c r="A116" s="44"/>
      <c r="B116" s="19"/>
      <c r="C116" s="45"/>
      <c r="D116" s="13"/>
      <c r="E116" s="13"/>
      <c r="F116" s="13"/>
      <c r="G116" s="13"/>
    </row>
    <row r="117" spans="1:11" s="18" customFormat="1" ht="13.5" hidden="1">
      <c r="A117" s="99" t="s">
        <v>125</v>
      </c>
      <c r="B117" s="100"/>
      <c r="C117" s="101"/>
      <c r="D117" s="16"/>
      <c r="E117" s="16"/>
      <c r="F117" s="16"/>
      <c r="G117" s="16"/>
      <c r="H117" s="102"/>
      <c r="I117" s="81"/>
      <c r="K117" s="81"/>
    </row>
    <row r="118" spans="1:11" s="18" customFormat="1" ht="13.5" hidden="1">
      <c r="A118" s="99" t="s">
        <v>141</v>
      </c>
      <c r="B118" s="100"/>
      <c r="C118" s="101"/>
      <c r="D118" s="16"/>
      <c r="E118" s="16"/>
      <c r="F118" s="16"/>
      <c r="G118" s="16"/>
      <c r="H118" s="102"/>
      <c r="I118" s="81"/>
      <c r="K118" s="81"/>
    </row>
    <row r="119" spans="1:11" s="18" customFormat="1" ht="13.5" hidden="1">
      <c r="A119" s="99"/>
      <c r="B119" s="100"/>
      <c r="C119" s="101"/>
      <c r="D119" s="16"/>
      <c r="E119" s="16"/>
      <c r="F119" s="16"/>
      <c r="G119" s="16"/>
      <c r="H119" s="102"/>
      <c r="I119" s="81"/>
      <c r="K119" s="81"/>
    </row>
    <row r="120" spans="1:7" ht="13.5" hidden="1">
      <c r="A120" s="44"/>
      <c r="B120" s="19"/>
      <c r="C120" s="45"/>
      <c r="D120" s="13"/>
      <c r="E120" s="13"/>
      <c r="F120" s="13"/>
      <c r="G120" s="13"/>
    </row>
    <row r="122" spans="3:4" ht="13.5">
      <c r="C122" s="103"/>
      <c r="D122" s="104"/>
    </row>
    <row r="124" spans="4:7" ht="13.5">
      <c r="D124" s="104"/>
      <c r="E124" s="104"/>
      <c r="F124" s="104"/>
      <c r="G124" s="104"/>
    </row>
    <row r="125" spans="3:7" ht="22.5" customHeight="1">
      <c r="C125" s="103"/>
      <c r="E125" s="104"/>
      <c r="F125" s="104"/>
      <c r="G125" s="104"/>
    </row>
    <row r="126" spans="2:7" ht="22.5" customHeight="1">
      <c r="B126" s="105"/>
      <c r="C126" s="106"/>
      <c r="E126" s="104"/>
      <c r="F126" s="104"/>
      <c r="G126" s="104"/>
    </row>
    <row r="127" spans="3:7" ht="22.5" customHeight="1">
      <c r="C127" s="106"/>
      <c r="E127" s="104"/>
      <c r="F127" s="104"/>
      <c r="G127" s="104"/>
    </row>
    <row r="128" spans="3:7" ht="22.5" customHeight="1">
      <c r="C128" s="106"/>
      <c r="E128" s="104"/>
      <c r="F128" s="104"/>
      <c r="G128" s="104"/>
    </row>
    <row r="129" spans="3:7" ht="22.5" customHeight="1">
      <c r="C129" s="103"/>
      <c r="E129" s="104"/>
      <c r="F129" s="104"/>
      <c r="G129" s="104"/>
    </row>
    <row r="131" ht="13.5" hidden="1"/>
    <row r="132" spans="2:4" ht="13.5" hidden="1">
      <c r="B132" s="107"/>
      <c r="C132" s="107"/>
      <c r="D132" s="107"/>
    </row>
    <row r="133" ht="13.5" hidden="1"/>
    <row r="134" spans="1:11" s="111" customFormat="1" ht="13.5" hidden="1">
      <c r="A134" s="9"/>
      <c r="B134" s="31"/>
      <c r="C134" s="31"/>
      <c r="D134" s="108"/>
      <c r="E134" s="9"/>
      <c r="F134" s="9"/>
      <c r="G134" s="9"/>
      <c r="H134" s="109"/>
      <c r="I134" s="110"/>
      <c r="K134" s="110"/>
    </row>
    <row r="135" spans="2:4" ht="13.5" hidden="1">
      <c r="B135" s="112"/>
      <c r="C135" s="113"/>
      <c r="D135" s="114"/>
    </row>
    <row r="136" spans="2:4" ht="13.5" hidden="1">
      <c r="B136" s="112"/>
      <c r="C136" s="113"/>
      <c r="D136" s="114"/>
    </row>
    <row r="137" spans="2:4" ht="13.5" hidden="1">
      <c r="B137" s="112"/>
      <c r="C137" s="113"/>
      <c r="D137" s="114"/>
    </row>
    <row r="138" spans="2:4" ht="13.5" hidden="1">
      <c r="B138" s="112"/>
      <c r="C138" s="113"/>
      <c r="D138" s="114"/>
    </row>
    <row r="139" spans="2:4" ht="13.5" hidden="1">
      <c r="B139" s="112"/>
      <c r="C139" s="113"/>
      <c r="D139" s="114"/>
    </row>
    <row r="140" spans="2:4" ht="13.5" hidden="1">
      <c r="B140" s="112"/>
      <c r="C140" s="113"/>
      <c r="D140" s="114"/>
    </row>
    <row r="141" spans="2:4" ht="13.5" hidden="1">
      <c r="B141" s="112"/>
      <c r="C141" s="113"/>
      <c r="D141" s="114"/>
    </row>
    <row r="142" spans="1:11" s="18" customFormat="1" ht="13.5" hidden="1">
      <c r="A142" s="115"/>
      <c r="B142" s="116"/>
      <c r="C142" s="117"/>
      <c r="D142" s="42"/>
      <c r="E142" s="115"/>
      <c r="F142" s="115"/>
      <c r="G142" s="115"/>
      <c r="H142" s="102"/>
      <c r="I142" s="81"/>
      <c r="K142" s="81"/>
    </row>
    <row r="143" ht="13.5" hidden="1"/>
    <row r="144" ht="13.5" hidden="1"/>
    <row r="145" ht="13.5" hidden="1">
      <c r="A145" s="21" t="s">
        <v>149</v>
      </c>
    </row>
    <row r="146" ht="13.5" hidden="1"/>
    <row r="147" ht="13.5" hidden="1"/>
    <row r="148" ht="13.5" hidden="1"/>
    <row r="149" ht="13.5" hidden="1"/>
  </sheetData>
  <sheetProtection selectLockedCells="1" selectUnlockedCells="1"/>
  <mergeCells count="1">
    <mergeCell ref="B132:D132"/>
  </mergeCells>
  <printOptions/>
  <pageMargins left="0.7479166666666667" right="0.1701388888888889" top="0.2902777777777778" bottom="0.5201388888888889" header="0.5118055555555555" footer="0.5118055555555555"/>
  <pageSetup fitToHeight="10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Пользователь Windows</cp:lastModifiedBy>
  <cp:lastPrinted>2022-02-05T08:08:15Z</cp:lastPrinted>
  <dcterms:created xsi:type="dcterms:W3CDTF">2017-08-08T17:19:42Z</dcterms:created>
  <dcterms:modified xsi:type="dcterms:W3CDTF">2022-02-05T08:21:11Z</dcterms:modified>
  <cp:category/>
  <cp:version/>
  <cp:contentType/>
  <cp:contentStatus/>
</cp:coreProperties>
</file>