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доходы" sheetId="1" r:id="rId1"/>
    <sheet name="расходы" sheetId="2" r:id="rId2"/>
  </sheets>
  <definedNames>
    <definedName name="_xlnm.Print_Titles" localSheetId="1">'расходы'!$3:$3</definedName>
    <definedName name="Excel_BuiltIn_Print_Titles" localSheetId="1">'расходы'!$3:$3</definedName>
  </definedNames>
  <calcPr fullCalcOnLoad="1"/>
</workbook>
</file>

<file path=xl/sharedStrings.xml><?xml version="1.0" encoding="utf-8"?>
<sst xmlns="http://schemas.openxmlformats.org/spreadsheetml/2006/main" count="182" uniqueCount="171">
  <si>
    <t>Утверждена на общем собрании собственников помещений ТСЖ "Виктория" мкд по адресу: г-к Анапа, ул.Зелёная, дом № 1-А,</t>
  </si>
  <si>
    <t>проведенного с 22 января 2022г. по 16 февраля 2022г. в форме заочного голосования.</t>
  </si>
  <si>
    <t>Председатель правления ТСЖ "Виктория" ____________________________________________________ М.Ю. Акулов</t>
  </si>
  <si>
    <t>СМЕТА</t>
  </si>
  <si>
    <t>доходов и расходов ТСЖ «Виктория»</t>
  </si>
  <si>
    <t>с 01.01.2022г. по 31.12.2022г.</t>
  </si>
  <si>
    <t>1. ДОХОДЫ, руб.</t>
  </si>
  <si>
    <t>№</t>
  </si>
  <si>
    <t>Наименование статей дохода</t>
  </si>
  <si>
    <t>Расчет</t>
  </si>
  <si>
    <t>План</t>
  </si>
  <si>
    <t>Содержание и ремонт общего имущества с 01.01.2022 по 31.12.2022г. - 20 97 руб. с 1 кв. м (4 820,1 кв.м)</t>
  </si>
  <si>
    <r>
      <rPr>
        <sz val="11"/>
        <rFont val="Times New Roman"/>
        <family val="1"/>
      </rPr>
      <t xml:space="preserve">
4820,1 х 12 мес. х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20,97</t>
    </r>
  </si>
  <si>
    <t>Прочие доходы (размещение оборудования ПАО "Ростелеком")</t>
  </si>
  <si>
    <t xml:space="preserve">400 х 12 мес.
</t>
  </si>
  <si>
    <t>Прочие долходы "Актон" (аренда электроподстанции)</t>
  </si>
  <si>
    <t>1 716,15 х 12 мес.</t>
  </si>
  <si>
    <t>Прочие доходы ("МТС")</t>
  </si>
  <si>
    <t>300 х 12 мес.
59,13 КВт х 12 мес. х 5,24 руб.</t>
  </si>
  <si>
    <t>Итого доходы</t>
  </si>
  <si>
    <t>Резервный фонд 1,0 руб. с 1 кв.м (4 820,1 кв.м)</t>
  </si>
  <si>
    <t>4 820,1 х 12 мес. х 1 руб.</t>
  </si>
  <si>
    <t>Всего доходы</t>
  </si>
  <si>
    <t>2. РАСХОДЫ, руб.</t>
  </si>
  <si>
    <t>Наименование статей расходов</t>
  </si>
  <si>
    <t>План 1 п/г</t>
  </si>
  <si>
    <t>План 2 п/г</t>
  </si>
  <si>
    <t>Административно-управленческие расходы</t>
  </si>
  <si>
    <t>1.1</t>
  </si>
  <si>
    <t>Фонд оплаты труда</t>
  </si>
  <si>
    <t xml:space="preserve"> - председатель правления</t>
  </si>
  <si>
    <t>15 000 х 12 мес.</t>
  </si>
  <si>
    <t xml:space="preserve"> - главный бухгалтер</t>
  </si>
  <si>
    <t xml:space="preserve"> - уборщик производственных помещений</t>
  </si>
  <si>
    <t xml:space="preserve"> 9 200 х 12 мес.</t>
  </si>
  <si>
    <t xml:space="preserve"> - сантехник</t>
  </si>
  <si>
    <t>4 500 х 12 мес.</t>
  </si>
  <si>
    <t>1.2</t>
  </si>
  <si>
    <t>Отпускные</t>
  </si>
  <si>
    <t>1.3</t>
  </si>
  <si>
    <t>Начисления на ФЗП 30,2 %</t>
  </si>
  <si>
    <t>1.4</t>
  </si>
  <si>
    <t xml:space="preserve">Прочие налоги (УСН 1% мин) </t>
  </si>
  <si>
    <t>2</t>
  </si>
  <si>
    <t>Банковское обслуживание</t>
  </si>
  <si>
    <t>2.1</t>
  </si>
  <si>
    <t>Расчетно-кассовое (платежные поручения)</t>
  </si>
  <si>
    <t>500 х 12 мес.</t>
  </si>
  <si>
    <t>2.2</t>
  </si>
  <si>
    <t>Комиссия за ведение расчётного счёта</t>
  </si>
  <si>
    <t>1600 х 12 мес.</t>
  </si>
  <si>
    <t>3</t>
  </si>
  <si>
    <t>Деятельность ТСЖ</t>
  </si>
  <si>
    <t>3.1</t>
  </si>
  <si>
    <t>Канцелярские принадлежности (бумага, прочее)</t>
  </si>
  <si>
    <t>3.2</t>
  </si>
  <si>
    <t>Обслуживание оргтехники (заправка картриджа, ремонт оргтехники)</t>
  </si>
  <si>
    <t>3.3</t>
  </si>
  <si>
    <t>Подление лицензии 1 С бугалтерия и 1С Астрал отчетность</t>
  </si>
  <si>
    <t>3.4</t>
  </si>
  <si>
    <t>Услуги связи</t>
  </si>
  <si>
    <t xml:space="preserve"> - почтовые расходы</t>
  </si>
  <si>
    <t>200 х 12 мес.</t>
  </si>
  <si>
    <t xml:space="preserve"> - телефонные переговоры, межгород</t>
  </si>
  <si>
    <t>1 100 х 12 мес.</t>
  </si>
  <si>
    <t>3.5</t>
  </si>
  <si>
    <t>Информационно-технологическое сопровождение программы 1С (обновления, консультации)</t>
  </si>
  <si>
    <t>1 000 х 12 мес.</t>
  </si>
  <si>
    <t>3.6</t>
  </si>
  <si>
    <t>Информационно-технологическое сопровождение сайта ТСЖ</t>
  </si>
  <si>
    <t>3.7</t>
  </si>
  <si>
    <t>Информационно-технологическое сопровождение сайтов ГИС ЖКХ и Реформа ЖКХ</t>
  </si>
  <si>
    <t>3.8</t>
  </si>
  <si>
    <t>Аттестация рабочих мест (1 раз в 5 лет)</t>
  </si>
  <si>
    <t>2500 х 4 р.м.</t>
  </si>
  <si>
    <t>4</t>
  </si>
  <si>
    <t>Санитарное содержание мест общего пользования</t>
  </si>
  <si>
    <t>4.1</t>
  </si>
  <si>
    <t>Моющие средства (уборка)</t>
  </si>
  <si>
    <t>4.2</t>
  </si>
  <si>
    <t>Дезинфекция и дератизация</t>
  </si>
  <si>
    <t>100 х 12 мес.</t>
  </si>
  <si>
    <t>4.3</t>
  </si>
  <si>
    <t>Санитарная обработка мусорных контейнеров</t>
  </si>
  <si>
    <t>170 х 12 мес.</t>
  </si>
  <si>
    <t>5</t>
  </si>
  <si>
    <t>Расходы по содержанию и обслуживанию общего имущества дома, а также услуги, осуществляемые по договору с третьими лицами (организациями)</t>
  </si>
  <si>
    <t>5.1</t>
  </si>
  <si>
    <t>Услуги по обслуживанию электроустановок</t>
  </si>
  <si>
    <t>6000 х 12 мес.</t>
  </si>
  <si>
    <t>вдпо, заправка огнетушителей</t>
  </si>
  <si>
    <t>5.2</t>
  </si>
  <si>
    <t>Обслуживание вентканалов и дымоходов</t>
  </si>
  <si>
    <t>12000 х 2 раза</t>
  </si>
  <si>
    <t>вдпо,56*200*3</t>
  </si>
  <si>
    <t>5.3</t>
  </si>
  <si>
    <t>Обслуживание лифта</t>
  </si>
  <si>
    <t>5000 х 12 мес.</t>
  </si>
  <si>
    <t>ООО Лифт, 4500*12</t>
  </si>
  <si>
    <t>5.4</t>
  </si>
  <si>
    <t>Страхование лифта</t>
  </si>
  <si>
    <t>Росгосстрах</t>
  </si>
  <si>
    <t>5.6</t>
  </si>
  <si>
    <t>Аварийно-диспетчерское и техническое обслуживание общедомового газового оборудования</t>
  </si>
  <si>
    <t>5.7</t>
  </si>
  <si>
    <t>Обслуживание домофонной системы</t>
  </si>
  <si>
    <t>1835 х 12 мес.</t>
  </si>
  <si>
    <t>КДК-сервис</t>
  </si>
  <si>
    <t>5.8</t>
  </si>
  <si>
    <t>Оценка соответствия лифта (техническое освидетельствование)</t>
  </si>
  <si>
    <t>Экспертиза</t>
  </si>
  <si>
    <t>5.9</t>
  </si>
  <si>
    <t>Электроэнергия в местах общего пользования</t>
  </si>
  <si>
    <t>9109кВт х 5,24</t>
  </si>
  <si>
    <t>5.10</t>
  </si>
  <si>
    <t>Холодное водоснабжение и водоотведение в местах общего пользования</t>
  </si>
  <si>
    <t>4 м3 12м. х 5,12</t>
  </si>
  <si>
    <t>ИП Безлер</t>
  </si>
  <si>
    <t>6</t>
  </si>
  <si>
    <t>Работы по ремонту общего имущества дома</t>
  </si>
  <si>
    <t>6.1</t>
  </si>
  <si>
    <t>Частичный ремонт плитки фасада, тротуарной плитки, плитки 3,4 этажей</t>
  </si>
  <si>
    <t>6.2</t>
  </si>
  <si>
    <t xml:space="preserve">Противопожарная обработка деревянных стропил чердачного помещения </t>
  </si>
  <si>
    <t>6.3</t>
  </si>
  <si>
    <t>Ремонт системы водоотлива, устранение протечек крыши, системы вентиляции, гидроизоляция офиса</t>
  </si>
  <si>
    <t>6.4</t>
  </si>
  <si>
    <t>Покраска бордюров, пандусов, мусорного помещения, офиса</t>
  </si>
  <si>
    <t>6.5</t>
  </si>
  <si>
    <t>Покрасочный материал. Плитка на пол. Клей для плитки (для пола и фасада)</t>
  </si>
  <si>
    <t>6.6.</t>
  </si>
  <si>
    <t>Гидроизоляция стен и пола: электрощитового и насосного отделений, офиса</t>
  </si>
  <si>
    <t>6.7.</t>
  </si>
  <si>
    <t>Обследование металлического ограждения крыши</t>
  </si>
  <si>
    <t>7</t>
  </si>
  <si>
    <t>Непредвиденные расходы (юридические услуги (нотариус, юрист), гос.пошлины, штрафные санкции)</t>
  </si>
  <si>
    <t>8</t>
  </si>
  <si>
    <t>Расходы по авансовым отчетам  (расходный материал)</t>
  </si>
  <si>
    <t>Итого расходы по смете</t>
  </si>
  <si>
    <t>Резервный фонд</t>
  </si>
  <si>
    <t>Содержание и ремонт общего имущества (с 01.01.2022г.) за 1 м2:</t>
  </si>
  <si>
    <t>Текущий ремонт - изготовление вент.шахты, ремонт и монтаж желоба и водостока, гидроизоляция фасада, ремонт плитки на фасаде и др.</t>
  </si>
  <si>
    <t>расходы на модернизацию освещения подъезда</t>
  </si>
  <si>
    <t>Выполнение закона об инвалидах</t>
  </si>
  <si>
    <t>изготовление ключей</t>
  </si>
  <si>
    <t>Амортизация ОС (насосная установка)</t>
  </si>
  <si>
    <t>Непредвиденные расходы по уставной деятельности</t>
  </si>
  <si>
    <t>Председатель Правления ТСЖ "Виктория"</t>
  </si>
  <si>
    <t>М.Ю. Акулов</t>
  </si>
  <si>
    <t>Согласовано:</t>
  </si>
  <si>
    <t>Члены Правления:</t>
  </si>
  <si>
    <t>А.Н. Филиппов</t>
  </si>
  <si>
    <t>С.Р. Назмутдинов</t>
  </si>
  <si>
    <t>Б.И. Редьков</t>
  </si>
  <si>
    <t>Главный бухгалтер</t>
  </si>
  <si>
    <t>О.Н. Луковкина</t>
  </si>
  <si>
    <t>Предложения на собрание:</t>
  </si>
  <si>
    <t>РАСШИФРОВКА</t>
  </si>
  <si>
    <t>наименование</t>
  </si>
  <si>
    <t>сумма</t>
  </si>
  <si>
    <t>тариф</t>
  </si>
  <si>
    <t>Домофон</t>
  </si>
  <si>
    <t>Лифт</t>
  </si>
  <si>
    <t>Техобслуживание (пожарная сигнализация, вент.каналы и дымоходы, газ.и эл.оборудование, антенна)</t>
  </si>
  <si>
    <t>Эл.энергия МОП</t>
  </si>
  <si>
    <t>Водоснабжение и водоотведение МОП</t>
  </si>
  <si>
    <t>Вывоз мусора</t>
  </si>
  <si>
    <t>Содержание и ремонт общего имущества</t>
  </si>
  <si>
    <t>Итого</t>
  </si>
  <si>
    <t>1.</t>
  </si>
  <si>
    <t>При задолженности за 2 месяца и более (или сумме более 5000 рублей) все почтовые расходы, связанные с этой задолженностью (уведомления, претензии, судебные гос.пошлины и т.п.) возложить на должника с указанием этой суммы в квитанции.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</si>
</sst>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@"/>
    <numFmt numFmtId="167" formatCode="dd/mmm"/>
    <numFmt numFmtId="168" formatCode="#,##0.00"/>
    <numFmt numFmtId="169" formatCode="dd/mm/yyyy"/>
  </numFmts>
  <fonts count="1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1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3" fillId="0" borderId="1" xfId="0" applyFont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3" fillId="0" borderId="1" xfId="0" applyFont="1" applyBorder="1" applyAlignment="1">
      <alignment vertical="center"/>
    </xf>
    <xf numFmtId="164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vertical="center"/>
    </xf>
    <xf numFmtId="164" fontId="9" fillId="0" borderId="1" xfId="0" applyFont="1" applyBorder="1" applyAlignment="1">
      <alignment vertical="center"/>
    </xf>
    <xf numFmtId="164" fontId="9" fillId="0" borderId="1" xfId="0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/>
    </xf>
    <xf numFmtId="165" fontId="9" fillId="0" borderId="0" xfId="0" applyNumberFormat="1" applyFont="1" applyAlignment="1">
      <alignment/>
    </xf>
    <xf numFmtId="164" fontId="9" fillId="0" borderId="0" xfId="0" applyFont="1" applyAlignment="1">
      <alignment/>
    </xf>
    <xf numFmtId="164" fontId="10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 vertical="center"/>
    </xf>
    <xf numFmtId="164" fontId="3" fillId="0" borderId="0" xfId="0" applyFont="1" applyFill="1" applyAlignment="1">
      <alignment vertical="center"/>
    </xf>
    <xf numFmtId="164" fontId="3" fillId="0" borderId="0" xfId="0" applyFont="1" applyAlignment="1">
      <alignment vertical="center" wrapText="1"/>
    </xf>
    <xf numFmtId="164" fontId="3" fillId="0" borderId="0" xfId="0" applyFont="1" applyAlignment="1">
      <alignment vertical="center"/>
    </xf>
    <xf numFmtId="165" fontId="3" fillId="0" borderId="0" xfId="0" applyNumberFormat="1" applyFont="1" applyAlignment="1">
      <alignment/>
    </xf>
    <xf numFmtId="164" fontId="11" fillId="0" borderId="0" xfId="0" applyFont="1" applyFill="1" applyAlignment="1">
      <alignment vertical="center"/>
    </xf>
    <xf numFmtId="164" fontId="3" fillId="0" borderId="1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11" fillId="0" borderId="1" xfId="0" applyFont="1" applyFill="1" applyBorder="1" applyAlignment="1">
      <alignment horizontal="right" vertical="center"/>
    </xf>
    <xf numFmtId="164" fontId="12" fillId="0" borderId="1" xfId="0" applyFont="1" applyBorder="1" applyAlignment="1">
      <alignment horizontal="left" vertical="center" wrapText="1"/>
    </xf>
    <xf numFmtId="165" fontId="11" fillId="0" borderId="1" xfId="0" applyNumberFormat="1" applyFont="1" applyBorder="1" applyAlignment="1">
      <alignment vertical="center" wrapText="1"/>
    </xf>
    <xf numFmtId="165" fontId="11" fillId="0" borderId="1" xfId="0" applyNumberFormat="1" applyFont="1" applyBorder="1" applyAlignment="1">
      <alignment vertical="center"/>
    </xf>
    <xf numFmtId="165" fontId="11" fillId="0" borderId="0" xfId="0" applyNumberFormat="1" applyFont="1" applyAlignment="1">
      <alignment/>
    </xf>
    <xf numFmtId="164" fontId="11" fillId="0" borderId="0" xfId="0" applyFont="1" applyAlignment="1">
      <alignment/>
    </xf>
    <xf numFmtId="166" fontId="3" fillId="0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Border="1" applyAlignment="1">
      <alignment vertical="center" wrapText="1"/>
    </xf>
    <xf numFmtId="164" fontId="10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right" vertical="center"/>
    </xf>
    <xf numFmtId="164" fontId="12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 wrapText="1"/>
    </xf>
    <xf numFmtId="165" fontId="13" fillId="0" borderId="1" xfId="0" applyNumberFormat="1" applyFont="1" applyFill="1" applyBorder="1" applyAlignment="1">
      <alignment vertical="center"/>
    </xf>
    <xf numFmtId="167" fontId="10" fillId="0" borderId="1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64" fontId="14" fillId="0" borderId="1" xfId="0" applyFont="1" applyBorder="1" applyAlignment="1">
      <alignment horizontal="left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vertical="center"/>
    </xf>
    <xf numFmtId="166" fontId="11" fillId="0" borderId="0" xfId="0" applyNumberFormat="1" applyFont="1" applyFill="1" applyBorder="1" applyAlignment="1">
      <alignment horizontal="right" vertical="center"/>
    </xf>
    <xf numFmtId="164" fontId="14" fillId="0" borderId="0" xfId="0" applyFont="1" applyBorder="1" applyAlignment="1">
      <alignment horizontal="left" vertical="center" wrapText="1"/>
    </xf>
    <xf numFmtId="165" fontId="15" fillId="0" borderId="0" xfId="0" applyNumberFormat="1" applyFont="1" applyBorder="1" applyAlignment="1">
      <alignment horizontal="center" vertical="center" wrapText="1"/>
    </xf>
    <xf numFmtId="165" fontId="15" fillId="0" borderId="0" xfId="0" applyNumberFormat="1" applyFont="1" applyBorder="1" applyAlignment="1">
      <alignment vertical="center"/>
    </xf>
    <xf numFmtId="164" fontId="9" fillId="0" borderId="0" xfId="0" applyFont="1" applyAlignment="1">
      <alignment horizontal="right" vertical="center"/>
    </xf>
    <xf numFmtId="168" fontId="9" fillId="0" borderId="0" xfId="0" applyNumberFormat="1" applyFont="1" applyAlignment="1">
      <alignment vertical="center"/>
    </xf>
    <xf numFmtId="166" fontId="9" fillId="0" borderId="1" xfId="0" applyNumberFormat="1" applyFont="1" applyFill="1" applyBorder="1" applyAlignment="1">
      <alignment horizontal="right" vertical="center"/>
    </xf>
    <xf numFmtId="164" fontId="16" fillId="0" borderId="1" xfId="0" applyFont="1" applyBorder="1" applyAlignment="1">
      <alignment horizontal="left" vertical="center" wrapText="1"/>
    </xf>
    <xf numFmtId="165" fontId="9" fillId="0" borderId="1" xfId="0" applyNumberFormat="1" applyFont="1" applyBorder="1" applyAlignment="1">
      <alignment vertical="center" wrapText="1"/>
    </xf>
    <xf numFmtId="164" fontId="3" fillId="0" borderId="2" xfId="0" applyFont="1" applyBorder="1" applyAlignment="1">
      <alignment vertical="center" wrapText="1"/>
    </xf>
    <xf numFmtId="164" fontId="3" fillId="0" borderId="0" xfId="0" applyFont="1" applyAlignment="1">
      <alignment horizontal="right" vertical="center"/>
    </xf>
    <xf numFmtId="164" fontId="3" fillId="0" borderId="0" xfId="0" applyFont="1" applyAlignment="1">
      <alignment horizontal="left" vertical="center"/>
    </xf>
    <xf numFmtId="169" fontId="17" fillId="0" borderId="0" xfId="0" applyNumberFormat="1" applyFont="1" applyAlignment="1">
      <alignment horizontal="left" vertical="center" wrapText="1"/>
    </xf>
    <xf numFmtId="164" fontId="3" fillId="0" borderId="3" xfId="0" applyFont="1" applyBorder="1" applyAlignment="1">
      <alignment vertical="center" wrapText="1"/>
    </xf>
    <xf numFmtId="164" fontId="3" fillId="0" borderId="0" xfId="0" applyFont="1" applyFill="1" applyAlignment="1">
      <alignment horizontal="left" vertical="center"/>
    </xf>
    <xf numFmtId="164" fontId="3" fillId="0" borderId="0" xfId="0" applyFont="1" applyBorder="1" applyAlignment="1">
      <alignment horizontal="center" wrapText="1"/>
    </xf>
    <xf numFmtId="164" fontId="3" fillId="0" borderId="0" xfId="0" applyFont="1" applyFill="1" applyAlignment="1">
      <alignment horizontal="center" vertical="center"/>
    </xf>
    <xf numFmtId="164" fontId="3" fillId="0" borderId="4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164" fontId="3" fillId="0" borderId="0" xfId="0" applyFont="1" applyAlignment="1">
      <alignment horizontal="center"/>
    </xf>
    <xf numFmtId="164" fontId="3" fillId="0" borderId="4" xfId="0" applyFont="1" applyBorder="1" applyAlignment="1">
      <alignment vertical="center" wrapText="1"/>
    </xf>
    <xf numFmtId="165" fontId="3" fillId="0" borderId="4" xfId="0" applyNumberFormat="1" applyFont="1" applyBorder="1" applyAlignment="1">
      <alignment vertical="center" wrapText="1"/>
    </xf>
    <xf numFmtId="168" fontId="3" fillId="0" borderId="4" xfId="0" applyNumberFormat="1" applyFont="1" applyBorder="1" applyAlignment="1">
      <alignment vertical="center"/>
    </xf>
    <xf numFmtId="164" fontId="9" fillId="0" borderId="0" xfId="0" applyFont="1" applyFill="1" applyAlignment="1">
      <alignment vertical="center"/>
    </xf>
    <xf numFmtId="164" fontId="9" fillId="0" borderId="4" xfId="0" applyFont="1" applyBorder="1" applyAlignment="1">
      <alignment vertical="center" wrapText="1"/>
    </xf>
    <xf numFmtId="165" fontId="9" fillId="0" borderId="4" xfId="0" applyNumberFormat="1" applyFont="1" applyBorder="1" applyAlignment="1">
      <alignment vertical="center" wrapText="1"/>
    </xf>
    <xf numFmtId="168" fontId="9" fillId="0" borderId="4" xfId="0" applyNumberFormat="1" applyFont="1" applyBorder="1" applyAlignment="1">
      <alignment vertical="center"/>
    </xf>
    <xf numFmtId="164" fontId="9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A7" sqref="A7"/>
    </sheetView>
  </sheetViews>
  <sheetFormatPr defaultColWidth="9.00390625" defaultRowHeight="12.75"/>
  <cols>
    <col min="1" max="1" width="6.625" style="1" customWidth="1"/>
    <col min="2" max="2" width="60.625" style="1" customWidth="1"/>
    <col min="3" max="3" width="33.50390625" style="1" customWidth="1"/>
    <col min="4" max="4" width="27.50390625" style="1" customWidth="1"/>
    <col min="5" max="5" width="22.00390625" style="1" customWidth="1"/>
    <col min="6" max="16384" width="9.125" style="1" customWidth="1"/>
  </cols>
  <sheetData>
    <row r="1" ht="13.5">
      <c r="B1" s="2" t="s">
        <v>0</v>
      </c>
    </row>
    <row r="2" ht="13.5">
      <c r="B2" s="2" t="s">
        <v>1</v>
      </c>
    </row>
    <row r="3" ht="13.5">
      <c r="B3" s="2"/>
    </row>
    <row r="4" ht="13.5">
      <c r="B4" s="2" t="s">
        <v>2</v>
      </c>
    </row>
    <row r="5" ht="21" customHeight="1"/>
    <row r="6" spans="1:4" s="4" customFormat="1" ht="20.25">
      <c r="A6" s="3" t="s">
        <v>3</v>
      </c>
      <c r="B6" s="3"/>
      <c r="C6" s="3"/>
      <c r="D6" s="3"/>
    </row>
    <row r="7" spans="1:4" s="6" customFormat="1" ht="18">
      <c r="A7" s="5" t="s">
        <v>4</v>
      </c>
      <c r="B7" s="5"/>
      <c r="C7" s="5"/>
      <c r="D7" s="5"/>
    </row>
    <row r="8" spans="1:4" s="6" customFormat="1" ht="18">
      <c r="A8" s="5" t="s">
        <v>5</v>
      </c>
      <c r="B8" s="5"/>
      <c r="C8" s="5"/>
      <c r="D8" s="5"/>
    </row>
    <row r="10" s="4" customFormat="1" ht="18">
      <c r="A10" s="7" t="s">
        <v>6</v>
      </c>
    </row>
    <row r="11" spans="1:4" s="9" customFormat="1" ht="36" customHeight="1">
      <c r="A11" s="8" t="s">
        <v>7</v>
      </c>
      <c r="B11" s="8" t="s">
        <v>8</v>
      </c>
      <c r="C11" s="8" t="s">
        <v>9</v>
      </c>
      <c r="D11" s="8" t="s">
        <v>10</v>
      </c>
    </row>
    <row r="12" spans="1:4" s="2" customFormat="1" ht="50.25" customHeight="1">
      <c r="A12" s="10">
        <v>1</v>
      </c>
      <c r="B12" s="11" t="s">
        <v>11</v>
      </c>
      <c r="C12" s="12" t="s">
        <v>12</v>
      </c>
      <c r="D12" s="13">
        <f>(4820.1*12*20.97)</f>
        <v>1212929.964</v>
      </c>
    </row>
    <row r="13" spans="1:4" s="2" customFormat="1" ht="45" customHeight="1">
      <c r="A13" s="10">
        <v>2</v>
      </c>
      <c r="B13" s="11" t="s">
        <v>13</v>
      </c>
      <c r="C13" s="12" t="s">
        <v>14</v>
      </c>
      <c r="D13" s="13">
        <f>(400*12)</f>
        <v>4800</v>
      </c>
    </row>
    <row r="14" spans="1:4" s="2" customFormat="1" ht="45" customHeight="1">
      <c r="A14" s="10">
        <v>3</v>
      </c>
      <c r="B14" s="11" t="s">
        <v>15</v>
      </c>
      <c r="C14" s="12" t="s">
        <v>16</v>
      </c>
      <c r="D14" s="13">
        <f>1715.15*12</f>
        <v>20581.800000000003</v>
      </c>
    </row>
    <row r="15" spans="1:4" s="2" customFormat="1" ht="52.5" customHeight="1">
      <c r="A15" s="10">
        <v>4</v>
      </c>
      <c r="B15" s="11" t="s">
        <v>17</v>
      </c>
      <c r="C15" s="12" t="s">
        <v>18</v>
      </c>
      <c r="D15" s="13">
        <f>(300*12)+(59.13*12*5.24)</f>
        <v>7318.0944</v>
      </c>
    </row>
    <row r="16" spans="1:5" s="18" customFormat="1" ht="36" customHeight="1">
      <c r="A16" s="14"/>
      <c r="B16" s="15" t="s">
        <v>19</v>
      </c>
      <c r="C16" s="16"/>
      <c r="D16" s="16">
        <f>SUM(D12:D15)</f>
        <v>1245629.8584</v>
      </c>
      <c r="E16" s="17"/>
    </row>
    <row r="17" spans="1:4" s="2" customFormat="1" ht="36" customHeight="1">
      <c r="A17" s="10">
        <v>5</v>
      </c>
      <c r="B17" s="19" t="s">
        <v>20</v>
      </c>
      <c r="C17" s="20" t="s">
        <v>21</v>
      </c>
      <c r="D17" s="13">
        <f>4820.1*12</f>
        <v>57841.200000000004</v>
      </c>
    </row>
    <row r="18" spans="1:4" s="18" customFormat="1" ht="36" customHeight="1">
      <c r="A18" s="14"/>
      <c r="B18" s="15" t="s">
        <v>22</v>
      </c>
      <c r="C18" s="16"/>
      <c r="D18" s="16">
        <f>SUM(D16:D17)</f>
        <v>1303471.0584</v>
      </c>
    </row>
  </sheetData>
  <sheetProtection selectLockedCells="1" selectUnlockedCells="1"/>
  <mergeCells count="3">
    <mergeCell ref="A6:D6"/>
    <mergeCell ref="A7:D7"/>
    <mergeCell ref="A8:D8"/>
  </mergeCells>
  <printOptions/>
  <pageMargins left="0.7479166666666667" right="0.7479166666666667" top="0.6701388888888888" bottom="0.6097222222222223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0"/>
  <sheetViews>
    <sheetView workbookViewId="0" topLeftCell="A43">
      <selection activeCell="A73" sqref="A73"/>
    </sheetView>
  </sheetViews>
  <sheetFormatPr defaultColWidth="9.00390625" defaultRowHeight="12.75"/>
  <cols>
    <col min="1" max="1" width="6.625" style="21" customWidth="1"/>
    <col min="2" max="2" width="93.625" style="22" customWidth="1"/>
    <col min="3" max="3" width="22.125" style="22" hidden="1" customWidth="1"/>
    <col min="4" max="4" width="15.00390625" style="23" hidden="1" customWidth="1"/>
    <col min="5" max="5" width="17.50390625" style="23" hidden="1" customWidth="1"/>
    <col min="6" max="6" width="15.00390625" style="23" hidden="1" customWidth="1"/>
    <col min="7" max="7" width="27.625" style="23" customWidth="1"/>
    <col min="8" max="8" width="28.50390625" style="24" hidden="1" customWidth="1"/>
    <col min="9" max="16384" width="9.125" style="2" customWidth="1"/>
  </cols>
  <sheetData>
    <row r="2" ht="15">
      <c r="A2" s="25" t="s">
        <v>23</v>
      </c>
    </row>
    <row r="3" spans="1:8" s="29" customFormat="1" ht="36" customHeight="1">
      <c r="A3" s="26" t="s">
        <v>7</v>
      </c>
      <c r="B3" s="27" t="s">
        <v>24</v>
      </c>
      <c r="C3" s="27" t="s">
        <v>9</v>
      </c>
      <c r="D3" s="27" t="s">
        <v>25</v>
      </c>
      <c r="E3" s="27" t="s">
        <v>9</v>
      </c>
      <c r="F3" s="27" t="s">
        <v>26</v>
      </c>
      <c r="G3" s="27" t="s">
        <v>10</v>
      </c>
      <c r="H3" s="28"/>
    </row>
    <row r="4" spans="1:8" s="35" customFormat="1" ht="30.75" customHeight="1">
      <c r="A4" s="30">
        <v>1</v>
      </c>
      <c r="B4" s="31" t="s">
        <v>27</v>
      </c>
      <c r="C4" s="32"/>
      <c r="D4" s="33">
        <f>SUM(D5,D10,D11,D12)</f>
        <v>736318.8</v>
      </c>
      <c r="E4" s="33"/>
      <c r="F4" s="33">
        <f>SUM(F5,F10,F11,F12)</f>
        <v>0</v>
      </c>
      <c r="G4" s="33">
        <f>SUM(G5,G10,G11,G12)</f>
        <v>736318.8</v>
      </c>
      <c r="H4" s="34"/>
    </row>
    <row r="5" spans="1:7" ht="13.5">
      <c r="A5" s="36" t="s">
        <v>28</v>
      </c>
      <c r="B5" s="19" t="s">
        <v>29</v>
      </c>
      <c r="C5" s="37"/>
      <c r="D5" s="13">
        <f>SUM(D6:D9)</f>
        <v>524400</v>
      </c>
      <c r="E5" s="13"/>
      <c r="F5" s="13"/>
      <c r="G5" s="13">
        <f>SUM(G6:G9)</f>
        <v>524400</v>
      </c>
    </row>
    <row r="6" spans="1:7" ht="13.5">
      <c r="A6" s="36"/>
      <c r="B6" s="38" t="s">
        <v>30</v>
      </c>
      <c r="C6" s="39" t="s">
        <v>31</v>
      </c>
      <c r="D6" s="40">
        <f aca="true" t="shared" si="0" ref="D6:D7">15000*12</f>
        <v>180000</v>
      </c>
      <c r="E6" s="41"/>
      <c r="F6" s="40"/>
      <c r="G6" s="40">
        <f aca="true" t="shared" si="1" ref="G6:G12">SUM(D6:F6)</f>
        <v>180000</v>
      </c>
    </row>
    <row r="7" spans="1:7" ht="13.5">
      <c r="A7" s="36"/>
      <c r="B7" s="38" t="s">
        <v>32</v>
      </c>
      <c r="C7" s="39" t="s">
        <v>31</v>
      </c>
      <c r="D7" s="40">
        <f t="shared" si="0"/>
        <v>180000</v>
      </c>
      <c r="E7" s="41"/>
      <c r="F7" s="40"/>
      <c r="G7" s="40">
        <f t="shared" si="1"/>
        <v>180000</v>
      </c>
    </row>
    <row r="8" spans="1:7" ht="13.5">
      <c r="A8" s="36"/>
      <c r="B8" s="38" t="s">
        <v>33</v>
      </c>
      <c r="C8" s="39" t="s">
        <v>34</v>
      </c>
      <c r="D8" s="40">
        <f>9200*12</f>
        <v>110400</v>
      </c>
      <c r="E8" s="41"/>
      <c r="F8" s="40"/>
      <c r="G8" s="40">
        <f t="shared" si="1"/>
        <v>110400</v>
      </c>
    </row>
    <row r="9" spans="1:7" ht="13.5">
      <c r="A9" s="36"/>
      <c r="B9" s="38" t="s">
        <v>35</v>
      </c>
      <c r="C9" s="39" t="s">
        <v>36</v>
      </c>
      <c r="D9" s="40">
        <f>4500*12</f>
        <v>54000</v>
      </c>
      <c r="E9" s="41"/>
      <c r="F9" s="40"/>
      <c r="G9" s="40">
        <f t="shared" si="1"/>
        <v>54000</v>
      </c>
    </row>
    <row r="10" spans="1:7" ht="13.5">
      <c r="A10" s="36" t="s">
        <v>37</v>
      </c>
      <c r="B10" s="38" t="s">
        <v>38</v>
      </c>
      <c r="C10" s="39"/>
      <c r="D10" s="40">
        <v>25000</v>
      </c>
      <c r="E10" s="40"/>
      <c r="F10" s="40"/>
      <c r="G10" s="40">
        <f t="shared" si="1"/>
        <v>25000</v>
      </c>
    </row>
    <row r="11" spans="1:7" ht="13.5">
      <c r="A11" s="36" t="s">
        <v>39</v>
      </c>
      <c r="B11" s="38" t="s">
        <v>40</v>
      </c>
      <c r="C11" s="39"/>
      <c r="D11" s="40">
        <f>(D5+D10)/100*30.2</f>
        <v>165918.8</v>
      </c>
      <c r="E11" s="40"/>
      <c r="F11" s="40"/>
      <c r="G11" s="40">
        <f t="shared" si="1"/>
        <v>165918.8</v>
      </c>
    </row>
    <row r="12" spans="1:7" ht="13.5">
      <c r="A12" s="36" t="s">
        <v>41</v>
      </c>
      <c r="B12" s="38" t="s">
        <v>42</v>
      </c>
      <c r="C12" s="39"/>
      <c r="D12" s="40">
        <v>21000</v>
      </c>
      <c r="E12" s="40"/>
      <c r="F12" s="40"/>
      <c r="G12" s="40">
        <f t="shared" si="1"/>
        <v>21000</v>
      </c>
    </row>
    <row r="13" spans="1:8" s="35" customFormat="1" ht="15">
      <c r="A13" s="42" t="s">
        <v>43</v>
      </c>
      <c r="B13" s="43" t="s">
        <v>44</v>
      </c>
      <c r="C13" s="44"/>
      <c r="D13" s="45">
        <f>SUM(D14:D15)</f>
        <v>25200</v>
      </c>
      <c r="E13" s="45"/>
      <c r="F13" s="45">
        <f>SUM(F14:F15)</f>
        <v>0</v>
      </c>
      <c r="G13" s="45">
        <f>SUM(G14:H15)</f>
        <v>25200</v>
      </c>
      <c r="H13" s="34"/>
    </row>
    <row r="14" spans="1:7" ht="13.5">
      <c r="A14" s="36" t="s">
        <v>45</v>
      </c>
      <c r="B14" s="38" t="s">
        <v>46</v>
      </c>
      <c r="C14" s="39" t="s">
        <v>47</v>
      </c>
      <c r="D14" s="40">
        <f>500*12</f>
        <v>6000</v>
      </c>
      <c r="E14" s="41"/>
      <c r="F14" s="40"/>
      <c r="G14" s="40">
        <f aca="true" t="shared" si="2" ref="G14:G15">SUM(D14:F14)</f>
        <v>6000</v>
      </c>
    </row>
    <row r="15" spans="1:7" ht="13.5">
      <c r="A15" s="36" t="s">
        <v>48</v>
      </c>
      <c r="B15" s="38" t="s">
        <v>49</v>
      </c>
      <c r="C15" s="39" t="s">
        <v>50</v>
      </c>
      <c r="D15" s="40">
        <f>1600*12</f>
        <v>19200</v>
      </c>
      <c r="E15" s="41"/>
      <c r="F15" s="40"/>
      <c r="G15" s="40">
        <f t="shared" si="2"/>
        <v>19200</v>
      </c>
    </row>
    <row r="16" spans="1:8" s="35" customFormat="1" ht="15">
      <c r="A16" s="42" t="s">
        <v>51</v>
      </c>
      <c r="B16" s="43" t="s">
        <v>52</v>
      </c>
      <c r="C16" s="44"/>
      <c r="D16" s="45">
        <f>D17+D18+D19+D20+D23+D24+D25+D26</f>
        <v>74400</v>
      </c>
      <c r="E16" s="45"/>
      <c r="F16" s="45">
        <f>SUM(F17,F18,F19,F20,F23)</f>
        <v>0</v>
      </c>
      <c r="G16" s="45">
        <f>G17+G18+G19+G20+G23+G24+G25+G26</f>
        <v>74400</v>
      </c>
      <c r="H16" s="34"/>
    </row>
    <row r="17" spans="1:7" ht="13.5">
      <c r="A17" s="36" t="s">
        <v>53</v>
      </c>
      <c r="B17" s="38" t="s">
        <v>54</v>
      </c>
      <c r="C17" s="46"/>
      <c r="D17" s="40">
        <v>3000</v>
      </c>
      <c r="E17" s="40"/>
      <c r="F17" s="40"/>
      <c r="G17" s="40">
        <v>3000</v>
      </c>
    </row>
    <row r="18" spans="1:7" ht="13.5">
      <c r="A18" s="36" t="s">
        <v>55</v>
      </c>
      <c r="B18" s="38" t="s">
        <v>56</v>
      </c>
      <c r="C18" s="39"/>
      <c r="D18" s="40">
        <v>3000</v>
      </c>
      <c r="E18" s="41"/>
      <c r="F18" s="40"/>
      <c r="G18" s="40">
        <v>3000</v>
      </c>
    </row>
    <row r="19" spans="1:7" ht="13.5">
      <c r="A19" s="36" t="s">
        <v>57</v>
      </c>
      <c r="B19" s="38" t="s">
        <v>58</v>
      </c>
      <c r="C19" s="39"/>
      <c r="D19" s="40">
        <f>5900+6900</f>
        <v>12800</v>
      </c>
      <c r="E19" s="40"/>
      <c r="F19" s="40"/>
      <c r="G19" s="40">
        <f>D19</f>
        <v>12800</v>
      </c>
    </row>
    <row r="20" spans="1:7" ht="13.5">
      <c r="A20" s="36" t="s">
        <v>59</v>
      </c>
      <c r="B20" s="38" t="s">
        <v>60</v>
      </c>
      <c r="C20" s="39"/>
      <c r="D20" s="47">
        <f>SUM(D21:D22)</f>
        <v>15600</v>
      </c>
      <c r="E20" s="47">
        <f>SUM(E21:E22)</f>
        <v>0</v>
      </c>
      <c r="F20" s="47">
        <f>SUM(F21:F22)</f>
        <v>0</v>
      </c>
      <c r="G20" s="47">
        <f>SUM(G21:G22)</f>
        <v>15600</v>
      </c>
    </row>
    <row r="21" spans="1:7" ht="13.5">
      <c r="A21" s="36"/>
      <c r="B21" s="38" t="s">
        <v>61</v>
      </c>
      <c r="C21" s="39" t="s">
        <v>62</v>
      </c>
      <c r="D21" s="40">
        <f>200*12</f>
        <v>2400</v>
      </c>
      <c r="E21" s="40"/>
      <c r="F21" s="40"/>
      <c r="G21" s="40">
        <f>SUM(D21:F21)</f>
        <v>2400</v>
      </c>
    </row>
    <row r="22" spans="1:7" ht="13.5">
      <c r="A22" s="36"/>
      <c r="B22" s="38" t="s">
        <v>63</v>
      </c>
      <c r="C22" s="39" t="s">
        <v>64</v>
      </c>
      <c r="D22" s="40">
        <f>1100*12</f>
        <v>13200</v>
      </c>
      <c r="E22" s="40"/>
      <c r="F22" s="40"/>
      <c r="G22" s="40">
        <f>D22</f>
        <v>13200</v>
      </c>
    </row>
    <row r="23" spans="1:7" ht="13.5">
      <c r="A23" s="36" t="s">
        <v>65</v>
      </c>
      <c r="B23" s="38" t="s">
        <v>66</v>
      </c>
      <c r="C23" s="39" t="s">
        <v>67</v>
      </c>
      <c r="D23" s="40">
        <f>12000</f>
        <v>12000</v>
      </c>
      <c r="E23" s="41"/>
      <c r="F23" s="40"/>
      <c r="G23" s="40">
        <f>SUM(D23:F23)</f>
        <v>12000</v>
      </c>
    </row>
    <row r="24" spans="1:7" ht="13.5">
      <c r="A24" s="36" t="s">
        <v>68</v>
      </c>
      <c r="B24" s="38" t="s">
        <v>69</v>
      </c>
      <c r="C24" s="39" t="s">
        <v>47</v>
      </c>
      <c r="D24" s="40">
        <v>6000</v>
      </c>
      <c r="E24" s="41"/>
      <c r="F24" s="40"/>
      <c r="G24" s="40">
        <f>D24</f>
        <v>6000</v>
      </c>
    </row>
    <row r="25" spans="1:7" ht="13.5">
      <c r="A25" s="36" t="s">
        <v>70</v>
      </c>
      <c r="B25" s="38" t="s">
        <v>71</v>
      </c>
      <c r="C25" s="39" t="s">
        <v>67</v>
      </c>
      <c r="D25" s="40">
        <f>12000</f>
        <v>12000</v>
      </c>
      <c r="E25" s="41"/>
      <c r="F25" s="40"/>
      <c r="G25" s="40">
        <f>SUM(D25:F25)</f>
        <v>12000</v>
      </c>
    </row>
    <row r="26" spans="1:7" ht="13.5">
      <c r="A26" s="36" t="s">
        <v>72</v>
      </c>
      <c r="B26" s="38" t="s">
        <v>73</v>
      </c>
      <c r="C26" s="39" t="s">
        <v>74</v>
      </c>
      <c r="D26" s="40">
        <f>2500*4</f>
        <v>10000</v>
      </c>
      <c r="E26" s="41"/>
      <c r="F26" s="40"/>
      <c r="G26" s="40">
        <v>10000</v>
      </c>
    </row>
    <row r="27" spans="1:8" s="35" customFormat="1" ht="15">
      <c r="A27" s="42" t="s">
        <v>75</v>
      </c>
      <c r="B27" s="43" t="s">
        <v>76</v>
      </c>
      <c r="C27" s="44"/>
      <c r="D27" s="45">
        <f>SUM(D28:D31)</f>
        <v>9240</v>
      </c>
      <c r="E27" s="45"/>
      <c r="F27" s="45">
        <f>SUM(F28:F30)</f>
        <v>0</v>
      </c>
      <c r="G27" s="45">
        <f>SUM(G28:G31)</f>
        <v>9240</v>
      </c>
      <c r="H27" s="34"/>
    </row>
    <row r="28" spans="1:7" ht="13.5">
      <c r="A28" s="36" t="s">
        <v>77</v>
      </c>
      <c r="B28" s="38" t="s">
        <v>78</v>
      </c>
      <c r="C28" s="39" t="s">
        <v>47</v>
      </c>
      <c r="D28" s="40">
        <f>500*12</f>
        <v>6000</v>
      </c>
      <c r="E28" s="41"/>
      <c r="F28" s="40"/>
      <c r="G28" s="40">
        <f>SUM(D28:F28)</f>
        <v>6000</v>
      </c>
    </row>
    <row r="29" spans="1:7" ht="13.5" hidden="1">
      <c r="A29" s="36"/>
      <c r="B29" s="38"/>
      <c r="C29" s="39"/>
      <c r="D29" s="40"/>
      <c r="E29" s="40"/>
      <c r="F29" s="40"/>
      <c r="G29" s="40"/>
    </row>
    <row r="30" spans="1:7" ht="13.5">
      <c r="A30" s="36" t="s">
        <v>79</v>
      </c>
      <c r="B30" s="38" t="s">
        <v>80</v>
      </c>
      <c r="C30" s="39" t="s">
        <v>81</v>
      </c>
      <c r="D30" s="40">
        <f>100*12</f>
        <v>1200</v>
      </c>
      <c r="E30" s="40"/>
      <c r="F30" s="40"/>
      <c r="G30" s="40">
        <f>SUM(D30:F30)</f>
        <v>1200</v>
      </c>
    </row>
    <row r="31" spans="1:7" ht="13.5">
      <c r="A31" s="36" t="s">
        <v>82</v>
      </c>
      <c r="B31" s="38" t="s">
        <v>83</v>
      </c>
      <c r="C31" s="39" t="s">
        <v>84</v>
      </c>
      <c r="D31" s="40">
        <v>2040</v>
      </c>
      <c r="E31" s="40"/>
      <c r="F31" s="40"/>
      <c r="G31" s="40">
        <v>2040</v>
      </c>
    </row>
    <row r="32" spans="1:8" s="35" customFormat="1" ht="39" customHeight="1">
      <c r="A32" s="42" t="s">
        <v>85</v>
      </c>
      <c r="B32" s="43" t="s">
        <v>86</v>
      </c>
      <c r="C32" s="44"/>
      <c r="D32" s="45">
        <f>SUM(D33:D42)</f>
        <v>248856.92</v>
      </c>
      <c r="E32" s="45"/>
      <c r="F32" s="45">
        <f>SUM(F33:F41)</f>
        <v>0</v>
      </c>
      <c r="G32" s="45">
        <f>SUM(G33:H42)</f>
        <v>248856.92</v>
      </c>
      <c r="H32" s="34"/>
    </row>
    <row r="33" spans="1:8" ht="13.5">
      <c r="A33" s="36" t="s">
        <v>87</v>
      </c>
      <c r="B33" s="38" t="s">
        <v>88</v>
      </c>
      <c r="C33" s="39" t="s">
        <v>89</v>
      </c>
      <c r="D33" s="40">
        <f>6000*12</f>
        <v>72000</v>
      </c>
      <c r="E33" s="40"/>
      <c r="F33" s="40"/>
      <c r="G33" s="40">
        <f aca="true" t="shared" si="3" ref="G33:G34">D33</f>
        <v>72000</v>
      </c>
      <c r="H33" s="24" t="s">
        <v>90</v>
      </c>
    </row>
    <row r="34" spans="1:8" ht="13.5">
      <c r="A34" s="36" t="s">
        <v>91</v>
      </c>
      <c r="B34" s="38" t="s">
        <v>92</v>
      </c>
      <c r="C34" s="39" t="s">
        <v>93</v>
      </c>
      <c r="D34" s="40">
        <f>12000*2</f>
        <v>24000</v>
      </c>
      <c r="E34" s="40"/>
      <c r="F34" s="40"/>
      <c r="G34" s="40">
        <f t="shared" si="3"/>
        <v>24000</v>
      </c>
      <c r="H34" s="24" t="s">
        <v>94</v>
      </c>
    </row>
    <row r="35" spans="1:8" ht="13.5">
      <c r="A35" s="36" t="s">
        <v>95</v>
      </c>
      <c r="B35" s="38" t="s">
        <v>96</v>
      </c>
      <c r="C35" s="39" t="s">
        <v>97</v>
      </c>
      <c r="D35" s="40">
        <f>5000*12</f>
        <v>60000</v>
      </c>
      <c r="E35" s="41"/>
      <c r="F35" s="40"/>
      <c r="G35" s="40">
        <f>D35+F35</f>
        <v>60000</v>
      </c>
      <c r="H35" s="24" t="s">
        <v>98</v>
      </c>
    </row>
    <row r="36" spans="1:8" ht="13.5">
      <c r="A36" s="36" t="s">
        <v>99</v>
      </c>
      <c r="B36" s="38" t="s">
        <v>100</v>
      </c>
      <c r="C36" s="39"/>
      <c r="D36" s="40">
        <v>1500</v>
      </c>
      <c r="E36" s="40"/>
      <c r="F36" s="40"/>
      <c r="G36" s="40">
        <f>D36</f>
        <v>1500</v>
      </c>
      <c r="H36" s="24" t="s">
        <v>101</v>
      </c>
    </row>
    <row r="37" spans="1:7" ht="13.5">
      <c r="A37" s="36" t="s">
        <v>102</v>
      </c>
      <c r="B37" s="38" t="s">
        <v>103</v>
      </c>
      <c r="C37" s="39"/>
      <c r="D37" s="40">
        <v>6000</v>
      </c>
      <c r="E37" s="40"/>
      <c r="F37" s="40"/>
      <c r="G37" s="40">
        <f aca="true" t="shared" si="4" ref="G37:G39">D37+F37</f>
        <v>6000</v>
      </c>
    </row>
    <row r="38" spans="1:8" ht="13.5">
      <c r="A38" s="36" t="s">
        <v>104</v>
      </c>
      <c r="B38" s="38" t="s">
        <v>105</v>
      </c>
      <c r="C38" s="39" t="s">
        <v>106</v>
      </c>
      <c r="D38" s="40">
        <f>1835*12</f>
        <v>22020</v>
      </c>
      <c r="E38" s="41"/>
      <c r="F38" s="40"/>
      <c r="G38" s="40">
        <f t="shared" si="4"/>
        <v>22020</v>
      </c>
      <c r="H38" s="24" t="s">
        <v>107</v>
      </c>
    </row>
    <row r="39" spans="1:8" ht="13.5">
      <c r="A39" s="36" t="s">
        <v>108</v>
      </c>
      <c r="B39" s="38" t="s">
        <v>109</v>
      </c>
      <c r="C39" s="39"/>
      <c r="D39" s="40">
        <v>12000</v>
      </c>
      <c r="E39" s="40"/>
      <c r="F39" s="40"/>
      <c r="G39" s="40">
        <f t="shared" si="4"/>
        <v>12000</v>
      </c>
      <c r="H39" s="24" t="s">
        <v>110</v>
      </c>
    </row>
    <row r="40" spans="1:7" ht="13.5">
      <c r="A40" s="36" t="s">
        <v>111</v>
      </c>
      <c r="B40" s="38" t="s">
        <v>112</v>
      </c>
      <c r="C40" s="39" t="s">
        <v>113</v>
      </c>
      <c r="D40" s="40">
        <f>9109*5.24</f>
        <v>47731.16</v>
      </c>
      <c r="E40" s="39"/>
      <c r="F40" s="40"/>
      <c r="G40" s="40">
        <f aca="true" t="shared" si="5" ref="G40:G41">D40</f>
        <v>47731.16</v>
      </c>
    </row>
    <row r="41" spans="1:7" ht="13.5">
      <c r="A41" s="36" t="s">
        <v>114</v>
      </c>
      <c r="B41" s="38" t="s">
        <v>115</v>
      </c>
      <c r="C41" s="39" t="s">
        <v>116</v>
      </c>
      <c r="D41" s="40">
        <f>4*12*75.12</f>
        <v>3605.76</v>
      </c>
      <c r="E41" s="39"/>
      <c r="F41" s="40"/>
      <c r="G41" s="40">
        <f t="shared" si="5"/>
        <v>3605.76</v>
      </c>
    </row>
    <row r="42" spans="1:8" ht="13.5" hidden="1">
      <c r="A42" s="36"/>
      <c r="B42" s="38"/>
      <c r="C42" s="39"/>
      <c r="D42" s="40"/>
      <c r="E42" s="40"/>
      <c r="F42" s="40"/>
      <c r="G42" s="40"/>
      <c r="H42" s="24" t="s">
        <v>117</v>
      </c>
    </row>
    <row r="43" spans="1:8" s="35" customFormat="1" ht="15">
      <c r="A43" s="42" t="s">
        <v>118</v>
      </c>
      <c r="B43" s="43" t="s">
        <v>119</v>
      </c>
      <c r="C43" s="44"/>
      <c r="D43" s="45">
        <f>SUM(D44:D50)</f>
        <v>104000</v>
      </c>
      <c r="E43" s="45"/>
      <c r="F43" s="45">
        <f>SUM(F44:F48)</f>
        <v>0</v>
      </c>
      <c r="G43" s="45">
        <f>SUM(G44:G50)</f>
        <v>104000</v>
      </c>
      <c r="H43" s="34"/>
    </row>
    <row r="44" spans="1:7" ht="21" customHeight="1">
      <c r="A44" s="36" t="s">
        <v>120</v>
      </c>
      <c r="B44" s="48" t="s">
        <v>121</v>
      </c>
      <c r="C44" s="39"/>
      <c r="D44" s="40">
        <v>10000</v>
      </c>
      <c r="E44" s="40"/>
      <c r="F44" s="40"/>
      <c r="G44" s="40">
        <v>10000</v>
      </c>
    </row>
    <row r="45" spans="1:7" ht="21" customHeight="1">
      <c r="A45" s="36" t="s">
        <v>122</v>
      </c>
      <c r="B45" s="48" t="s">
        <v>123</v>
      </c>
      <c r="C45" s="39"/>
      <c r="D45" s="40">
        <v>14000</v>
      </c>
      <c r="E45" s="40"/>
      <c r="F45" s="40"/>
      <c r="G45" s="40">
        <v>14000</v>
      </c>
    </row>
    <row r="46" spans="1:7" ht="21" customHeight="1">
      <c r="A46" s="36" t="s">
        <v>124</v>
      </c>
      <c r="B46" s="38" t="s">
        <v>125</v>
      </c>
      <c r="C46" s="39"/>
      <c r="D46" s="40">
        <v>25000</v>
      </c>
      <c r="E46" s="40"/>
      <c r="F46" s="40"/>
      <c r="G46" s="40">
        <v>25000</v>
      </c>
    </row>
    <row r="47" spans="1:7" ht="21" customHeight="1">
      <c r="A47" s="36" t="s">
        <v>126</v>
      </c>
      <c r="B47" s="48" t="s">
        <v>127</v>
      </c>
      <c r="C47" s="39"/>
      <c r="D47" s="40">
        <v>10000</v>
      </c>
      <c r="E47" s="40"/>
      <c r="F47" s="40"/>
      <c r="G47" s="40">
        <v>10000</v>
      </c>
    </row>
    <row r="48" spans="1:7" ht="21" customHeight="1">
      <c r="A48" s="36" t="s">
        <v>128</v>
      </c>
      <c r="B48" s="38" t="s">
        <v>129</v>
      </c>
      <c r="C48" s="39"/>
      <c r="D48" s="40">
        <v>10000</v>
      </c>
      <c r="E48" s="40"/>
      <c r="F48" s="40"/>
      <c r="G48" s="40">
        <v>10000</v>
      </c>
    </row>
    <row r="49" spans="1:7" ht="21" customHeight="1">
      <c r="A49" s="36" t="s">
        <v>130</v>
      </c>
      <c r="B49" s="38" t="s">
        <v>131</v>
      </c>
      <c r="C49" s="39"/>
      <c r="D49" s="40">
        <v>25000</v>
      </c>
      <c r="E49" s="40"/>
      <c r="F49" s="40"/>
      <c r="G49" s="40">
        <v>25000</v>
      </c>
    </row>
    <row r="50" spans="1:7" ht="21" customHeight="1">
      <c r="A50" s="36" t="s">
        <v>132</v>
      </c>
      <c r="B50" s="38" t="s">
        <v>133</v>
      </c>
      <c r="C50" s="39"/>
      <c r="D50" s="40">
        <v>10000</v>
      </c>
      <c r="E50" s="40"/>
      <c r="F50" s="40"/>
      <c r="G50" s="40">
        <v>10000</v>
      </c>
    </row>
    <row r="51" spans="1:8" s="35" customFormat="1" ht="30.75">
      <c r="A51" s="42" t="s">
        <v>134</v>
      </c>
      <c r="B51" s="31" t="s">
        <v>135</v>
      </c>
      <c r="C51" s="49"/>
      <c r="D51" s="33">
        <v>10000</v>
      </c>
      <c r="E51" s="33"/>
      <c r="F51" s="33"/>
      <c r="G51" s="33">
        <v>10000</v>
      </c>
      <c r="H51" s="34"/>
    </row>
    <row r="52" spans="1:8" s="35" customFormat="1" ht="15">
      <c r="A52" s="42" t="s">
        <v>136</v>
      </c>
      <c r="B52" s="31" t="s">
        <v>137</v>
      </c>
      <c r="C52" s="49"/>
      <c r="D52" s="33">
        <v>5000</v>
      </c>
      <c r="E52" s="33"/>
      <c r="F52" s="33"/>
      <c r="G52" s="33">
        <v>5000</v>
      </c>
      <c r="H52" s="34"/>
    </row>
    <row r="53" spans="1:10" s="35" customFormat="1" ht="15">
      <c r="A53" s="42"/>
      <c r="B53" s="31" t="s">
        <v>138</v>
      </c>
      <c r="C53" s="49"/>
      <c r="D53" s="33">
        <f>D51+D43+D32+D27+D16+D13+D4+D52</f>
        <v>1213015.7200000002</v>
      </c>
      <c r="E53" s="33">
        <f>E51+E43+E32+E27+E16+E13+E4</f>
        <v>0</v>
      </c>
      <c r="F53" s="33">
        <f>F51+F43+F32+F27+F16+F13+F4</f>
        <v>0</v>
      </c>
      <c r="G53" s="33">
        <f>G51+G43+G32+G27+G16+G13+G4+G52</f>
        <v>1213015.7200000002</v>
      </c>
      <c r="H53" s="34"/>
      <c r="J53" s="34"/>
    </row>
    <row r="54" spans="1:10" s="35" customFormat="1" ht="45" customHeight="1" hidden="1">
      <c r="A54" s="42"/>
      <c r="B54" s="50" t="s">
        <v>139</v>
      </c>
      <c r="C54" s="51"/>
      <c r="D54" s="52"/>
      <c r="E54" s="52"/>
      <c r="F54" s="52"/>
      <c r="G54" s="52"/>
      <c r="H54" s="34"/>
      <c r="J54" s="34"/>
    </row>
    <row r="55" spans="1:10" s="35" customFormat="1" ht="15">
      <c r="A55" s="53"/>
      <c r="B55" s="54"/>
      <c r="C55" s="55"/>
      <c r="D55" s="56"/>
      <c r="E55" s="56"/>
      <c r="F55" s="56"/>
      <c r="G55" s="56"/>
      <c r="H55" s="34"/>
      <c r="J55" s="34"/>
    </row>
    <row r="56" spans="1:8" s="35" customFormat="1" ht="15">
      <c r="A56" s="53"/>
      <c r="B56" s="54"/>
      <c r="C56" s="55"/>
      <c r="D56" s="56"/>
      <c r="E56" s="56"/>
      <c r="F56" s="56"/>
      <c r="G56" s="56"/>
      <c r="H56" s="34"/>
    </row>
    <row r="57" spans="2:7" ht="13.5">
      <c r="B57" s="57" t="s">
        <v>140</v>
      </c>
      <c r="D57" s="58"/>
      <c r="F57" s="58"/>
      <c r="G57" s="58">
        <f>G53/12/4820.1</f>
        <v>20.97148261101084</v>
      </c>
    </row>
    <row r="58" spans="1:7" ht="27" hidden="1">
      <c r="A58" s="36"/>
      <c r="B58" s="19" t="s">
        <v>141</v>
      </c>
      <c r="C58" s="37"/>
      <c r="D58" s="13">
        <f>2000+5400+3500+24000+828+4750+115+645+8000+2115</f>
        <v>51353</v>
      </c>
      <c r="E58" s="13"/>
      <c r="F58" s="13">
        <f>2000+5400+3500+24000+828+4750+115+645+8000+2115</f>
        <v>51353</v>
      </c>
      <c r="G58" s="13">
        <f>2000+5400+3500+24000+828+4750+115+645+8000+2115</f>
        <v>51353</v>
      </c>
    </row>
    <row r="59" spans="1:7" ht="13.5" hidden="1">
      <c r="A59" s="36"/>
      <c r="B59" s="19" t="s">
        <v>142</v>
      </c>
      <c r="C59" s="37"/>
      <c r="D59" s="13">
        <v>10747</v>
      </c>
      <c r="E59" s="13"/>
      <c r="F59" s="13">
        <v>10747</v>
      </c>
      <c r="G59" s="13">
        <v>10747</v>
      </c>
    </row>
    <row r="60" spans="1:7" ht="13.5" hidden="1">
      <c r="A60" s="36"/>
      <c r="B60" s="19" t="s">
        <v>143</v>
      </c>
      <c r="C60" s="37"/>
      <c r="D60" s="13">
        <f>50+1200</f>
        <v>1250</v>
      </c>
      <c r="E60" s="13"/>
      <c r="F60" s="13">
        <f>50+1200</f>
        <v>1250</v>
      </c>
      <c r="G60" s="13">
        <f>50+1200</f>
        <v>1250</v>
      </c>
    </row>
    <row r="61" spans="1:7" ht="13.5" hidden="1">
      <c r="A61" s="36"/>
      <c r="B61" s="19" t="s">
        <v>144</v>
      </c>
      <c r="C61" s="37"/>
      <c r="D61" s="13">
        <v>400</v>
      </c>
      <c r="E61" s="13"/>
      <c r="F61" s="13">
        <v>400</v>
      </c>
      <c r="G61" s="13">
        <v>400</v>
      </c>
    </row>
    <row r="62" spans="1:7" ht="13.5" hidden="1">
      <c r="A62" s="36"/>
      <c r="B62" s="19"/>
      <c r="C62" s="37"/>
      <c r="D62" s="13"/>
      <c r="E62" s="13"/>
      <c r="F62" s="13"/>
      <c r="G62" s="13"/>
    </row>
    <row r="63" spans="1:8" s="18" customFormat="1" ht="13.5" hidden="1">
      <c r="A63" s="59" t="s">
        <v>118</v>
      </c>
      <c r="B63" s="60" t="s">
        <v>145</v>
      </c>
      <c r="C63" s="61"/>
      <c r="D63" s="16"/>
      <c r="E63" s="16"/>
      <c r="F63" s="16"/>
      <c r="G63" s="16"/>
      <c r="H63" s="17"/>
    </row>
    <row r="64" spans="1:8" s="18" customFormat="1" ht="13.5" hidden="1">
      <c r="A64" s="59" t="s">
        <v>134</v>
      </c>
      <c r="B64" s="60" t="s">
        <v>146</v>
      </c>
      <c r="C64" s="61"/>
      <c r="D64" s="16"/>
      <c r="E64" s="16"/>
      <c r="F64" s="16"/>
      <c r="G64" s="16"/>
      <c r="H64" s="17"/>
    </row>
    <row r="65" spans="1:8" s="18" customFormat="1" ht="13.5" hidden="1">
      <c r="A65" s="59"/>
      <c r="B65" s="60" t="s">
        <v>138</v>
      </c>
      <c r="C65" s="61"/>
      <c r="D65" s="16"/>
      <c r="E65" s="16"/>
      <c r="F65" s="16"/>
      <c r="G65" s="16"/>
      <c r="H65" s="17"/>
    </row>
    <row r="66" spans="1:7" ht="13.5" hidden="1">
      <c r="A66" s="36"/>
      <c r="B66" s="19"/>
      <c r="C66" s="37"/>
      <c r="D66" s="13"/>
      <c r="E66" s="13"/>
      <c r="F66" s="13"/>
      <c r="G66" s="13"/>
    </row>
    <row r="68" spans="2:7" ht="13.5">
      <c r="B68" s="22" t="s">
        <v>147</v>
      </c>
      <c r="C68" s="62"/>
      <c r="D68" s="63"/>
      <c r="G68" s="64" t="s">
        <v>148</v>
      </c>
    </row>
    <row r="69" ht="13.5">
      <c r="G69" s="64"/>
    </row>
    <row r="70" spans="2:7" ht="13.5">
      <c r="B70" s="22" t="s">
        <v>149</v>
      </c>
      <c r="D70" s="63"/>
      <c r="E70" s="63"/>
      <c r="F70" s="63"/>
      <c r="G70" s="64"/>
    </row>
    <row r="71" spans="2:7" ht="22.5" customHeight="1">
      <c r="B71" s="22" t="s">
        <v>150</v>
      </c>
      <c r="C71" s="62"/>
      <c r="E71" s="63"/>
      <c r="F71" s="63"/>
      <c r="G71" s="64" t="s">
        <v>151</v>
      </c>
    </row>
    <row r="72" spans="2:7" ht="22.5" customHeight="1">
      <c r="B72" s="65"/>
      <c r="C72" s="66"/>
      <c r="E72" s="63"/>
      <c r="F72" s="63"/>
      <c r="G72" s="64" t="s">
        <v>152</v>
      </c>
    </row>
    <row r="73" spans="3:7" ht="22.5" customHeight="1">
      <c r="C73" s="66"/>
      <c r="E73" s="63"/>
      <c r="F73" s="63"/>
      <c r="G73" s="67" t="s">
        <v>153</v>
      </c>
    </row>
    <row r="74" spans="2:7" ht="22.5" customHeight="1">
      <c r="B74" s="22" t="s">
        <v>154</v>
      </c>
      <c r="C74" s="62"/>
      <c r="E74" s="63"/>
      <c r="F74" s="63"/>
      <c r="G74" s="64" t="s">
        <v>155</v>
      </c>
    </row>
    <row r="76" ht="13.5" hidden="1">
      <c r="B76" s="22" t="s">
        <v>156</v>
      </c>
    </row>
    <row r="77" spans="2:4" ht="13.5" customHeight="1" hidden="1">
      <c r="B77" s="68" t="s">
        <v>157</v>
      </c>
      <c r="C77" s="68"/>
      <c r="D77" s="68"/>
    </row>
    <row r="78" ht="13.5" hidden="1"/>
    <row r="79" spans="1:8" s="73" customFormat="1" ht="13.5" hidden="1">
      <c r="A79" s="69"/>
      <c r="B79" s="70" t="s">
        <v>158</v>
      </c>
      <c r="C79" s="70" t="s">
        <v>159</v>
      </c>
      <c r="D79" s="71" t="s">
        <v>160</v>
      </c>
      <c r="E79" s="9"/>
      <c r="F79" s="9"/>
      <c r="G79" s="9"/>
      <c r="H79" s="72"/>
    </row>
    <row r="80" spans="2:4" ht="13.5" hidden="1">
      <c r="B80" s="74" t="s">
        <v>161</v>
      </c>
      <c r="C80" s="75">
        <f>F38</f>
        <v>0</v>
      </c>
      <c r="D80" s="76">
        <f aca="true" t="shared" si="6" ref="D80:D86">C80/6/4820.1</f>
        <v>0</v>
      </c>
    </row>
    <row r="81" spans="2:4" ht="13.5" hidden="1">
      <c r="B81" s="74" t="s">
        <v>162</v>
      </c>
      <c r="C81" s="75">
        <f>F35+F36</f>
        <v>0</v>
      </c>
      <c r="D81" s="76">
        <f t="shared" si="6"/>
        <v>0</v>
      </c>
    </row>
    <row r="82" spans="2:4" ht="13.5" hidden="1">
      <c r="B82" s="74" t="s">
        <v>163</v>
      </c>
      <c r="C82" s="75" t="e">
        <f>F32-F35-F36-F38-F40-#REF!-F41</f>
        <v>#REF!</v>
      </c>
      <c r="D82" s="76" t="e">
        <f t="shared" si="6"/>
        <v>#REF!</v>
      </c>
    </row>
    <row r="83" spans="2:4" ht="13.5" hidden="1">
      <c r="B83" s="74" t="s">
        <v>164</v>
      </c>
      <c r="C83" s="75" t="e">
        <f>F40+#REF!</f>
        <v>#REF!</v>
      </c>
      <c r="D83" s="76" t="e">
        <f t="shared" si="6"/>
        <v>#REF!</v>
      </c>
    </row>
    <row r="84" spans="2:4" ht="13.5" hidden="1">
      <c r="B84" s="74" t="s">
        <v>165</v>
      </c>
      <c r="C84" s="75">
        <f>F41</f>
        <v>0</v>
      </c>
      <c r="D84" s="76">
        <f t="shared" si="6"/>
        <v>0</v>
      </c>
    </row>
    <row r="85" spans="2:4" ht="13.5" hidden="1">
      <c r="B85" s="74" t="s">
        <v>166</v>
      </c>
      <c r="C85" s="75" t="e">
        <f>#REF!</f>
        <v>#REF!</v>
      </c>
      <c r="D85" s="76" t="e">
        <f t="shared" si="6"/>
        <v>#REF!</v>
      </c>
    </row>
    <row r="86" spans="2:4" ht="13.5" hidden="1">
      <c r="B86" s="74" t="s">
        <v>167</v>
      </c>
      <c r="C86" s="75" t="e">
        <f>F53-C80-C81-C82-C83-C84-C85</f>
        <v>#REF!</v>
      </c>
      <c r="D86" s="76" t="e">
        <f t="shared" si="6"/>
        <v>#REF!</v>
      </c>
    </row>
    <row r="87" spans="1:8" s="18" customFormat="1" ht="13.5" hidden="1">
      <c r="A87" s="77"/>
      <c r="B87" s="78" t="s">
        <v>168</v>
      </c>
      <c r="C87" s="79" t="e">
        <f>SUM(C80:C86)</f>
        <v>#REF!</v>
      </c>
      <c r="D87" s="80" t="e">
        <f>SUM(D80:D86)</f>
        <v>#REF!</v>
      </c>
      <c r="E87" s="81"/>
      <c r="F87" s="81"/>
      <c r="G87" s="81"/>
      <c r="H87" s="17"/>
    </row>
    <row r="88" ht="13.5" hidden="1"/>
    <row r="89" ht="13.5" hidden="1"/>
    <row r="90" spans="1:2" ht="41.25" hidden="1">
      <c r="A90" s="21" t="s">
        <v>169</v>
      </c>
      <c r="B90" s="22" t="s">
        <v>170</v>
      </c>
    </row>
    <row r="91" ht="13.5" hidden="1"/>
    <row r="92" ht="13.5" hidden="1"/>
    <row r="93" ht="13.5" hidden="1"/>
    <row r="94" ht="13.5" hidden="1"/>
  </sheetData>
  <sheetProtection selectLockedCells="1" selectUnlockedCells="1"/>
  <mergeCells count="1">
    <mergeCell ref="B77:D77"/>
  </mergeCells>
  <printOptions/>
  <pageMargins left="0.7479166666666667" right="0.1701388888888889" top="0.2902777777777778" bottom="0.2298611111111111" header="0.5118055555555555" footer="0.5118055555555555"/>
  <pageSetup fitToHeight="100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Пользователь Windows</cp:lastModifiedBy>
  <cp:lastPrinted>2022-02-16T15:51:06Z</cp:lastPrinted>
  <dcterms:created xsi:type="dcterms:W3CDTF">2017-08-08T17:19:42Z</dcterms:created>
  <dcterms:modified xsi:type="dcterms:W3CDTF">2022-02-16T15:51:27Z</dcterms:modified>
  <cp:category/>
  <cp:version/>
  <cp:contentType/>
  <cp:contentStatus/>
</cp:coreProperties>
</file>